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Nuve Controls Production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<sst xmlns="http://schemas.openxmlformats.org/spreadsheetml/2006/main" count="31" uniqueCount="31">
  <si>
    <t xml:space="preserve">U/P Raw</t>
  </si>
  <si>
    <t>Spending</t>
  </si>
  <si>
    <t>Date</t>
  </si>
  <si>
    <t>Supplier/Party</t>
  </si>
  <si>
    <t>Reason</t>
  </si>
  <si>
    <t>PRO?</t>
  </si>
  <si>
    <t>Out</t>
  </si>
  <si>
    <t xml:space="preserve">Cum out</t>
  </si>
  <si>
    <t>in</t>
  </si>
  <si>
    <t>MU</t>
  </si>
  <si>
    <t>Balance</t>
  </si>
  <si>
    <t>Notes</t>
  </si>
  <si>
    <t>P</t>
  </si>
  <si>
    <t xml:space="preserve">Scheduled 1/1/22</t>
  </si>
  <si>
    <t xml:space="preserve">Scheduled 15/10/22</t>
  </si>
  <si>
    <t xml:space="preserve">Scheduled 12/12/22</t>
  </si>
  <si>
    <t xml:space="preserve">Scheduled 30/11/22</t>
  </si>
  <si>
    <t xml:space="preserve">Scheduled 10/03/23</t>
  </si>
  <si>
    <t xml:space="preserve">Scheduled 1/12/22</t>
  </si>
  <si>
    <t xml:space="preserve">NOTE: payment was discounted</t>
  </si>
  <si>
    <t xml:space="preserve">estimated 25/2/23</t>
  </si>
  <si>
    <t xml:space="preserve">estimated 30/3/23</t>
  </si>
  <si>
    <t xml:space="preserve">Quantity mismatch</t>
  </si>
  <si>
    <t>TBC</t>
  </si>
  <si>
    <t xml:space="preserve">1st July on, 1k/week</t>
  </si>
  <si>
    <t>overpay</t>
  </si>
  <si>
    <t xml:space="preserve">payment due 28/12</t>
  </si>
  <si>
    <t xml:space="preserve">split 20/20/60, part 1</t>
  </si>
  <si>
    <t xml:space="preserve">split 20/20/60, part 2</t>
  </si>
  <si>
    <t>Past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</si>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</sst>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&quot;₱&quot;* #,##0.00_-;\-&quot;₱&quot;* #,##0.00_-;_-&quot;₱&quot;* &quot;-&quot;??_-;_-@_-"/>
    <numFmt numFmtId="166" formatCode="_([$$-409]* #,##0.00_);_([$$-409]* \(#,##0.00\);_([$$-409]* &quot;-&quot;??_);_(@_)"/>
    <numFmt numFmtId="167" formatCode="_-[$$-409]* #,##0.00_ ;_-[$$-409]* \-#,##0.00\ ;_-[$$-409]* &quot;-&quot;??_ ;_-@_ "/>
    <numFmt numFmtId="168" formatCode="dd/mm/yyyy"/>
  </numFmts>
  <fonts count="9">
    <font>
      <sz val="11.000000"/>
      <color theme="1"/>
      <name val="Calibri"/>
      <scheme val="minor"/>
    </font>
    <font>
      <sz val="9.000000"/>
      <name val="Calibri"/>
      <scheme val="minor"/>
    </font>
    <font>
      <sz val="11.000000"/>
      <name val="Calibri"/>
      <scheme val="minor"/>
    </font>
    <font>
      <b/>
      <sz val="11.000000"/>
      <name val="Calibri"/>
      <scheme val="minor"/>
    </font>
    <font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1.000000"/>
      <color theme="1"/>
      <name val="Calibri"/>
      <scheme val="minor"/>
    </font>
    <font>
      <u/>
      <sz val="11.000000"/>
      <color theme="10"/>
      <name val="Calibri"/>
    </font>
    <font>
      <sz val="11.000000"/>
      <color indexed="2"/>
      <name val="Calibri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164" applyNumberFormat="1" applyFont="0" applyFill="0" applyBorder="0"/>
    <xf fontId="0" fillId="0" borderId="0" numFmtId="165" applyNumberFormat="1" applyFont="0" applyFill="0" applyBorder="0"/>
    <xf fontId="0" fillId="2" borderId="0" numFmtId="9" applyNumberFormat="1" applyFont="0" applyFill="0" applyBorder="0"/>
  </cellStyleXfs>
  <cellXfs count="47">
    <xf fontId="0" fillId="0" borderId="0" numFmtId="0" xfId="0"/>
    <xf fontId="0" fillId="0" borderId="0" numFmtId="0" xfId="0" applyAlignment="1">
      <alignment horizontal="center"/>
    </xf>
    <xf fontId="0" fillId="0" borderId="0" numFmtId="166" xfId="0" applyNumberFormat="1"/>
    <xf fontId="0" fillId="2" borderId="0" numFmtId="0" xfId="0" applyFill="1" applyAlignment="1">
      <alignment horizontal="center"/>
    </xf>
    <xf fontId="0" fillId="2" borderId="0" numFmtId="167" xfId="1" applyNumberFormat="1" applyFill="1" applyAlignment="1">
      <alignment horizontal="center"/>
    </xf>
    <xf fontId="0" fillId="0" borderId="0" numFmtId="167" xfId="1" applyNumberFormat="1" applyAlignment="1">
      <alignment horizontal="center"/>
    </xf>
    <xf fontId="0" fillId="2" borderId="0" numFmtId="168" xfId="0" applyNumberFormat="1" applyFill="1" applyAlignment="1">
      <alignment horizontal="center"/>
    </xf>
    <xf fontId="1" fillId="2" borderId="0" numFmtId="167" xfId="0" applyNumberFormat="1" applyFont="1" applyFill="1" applyAlignment="1">
      <alignment horizontal="right"/>
    </xf>
    <xf fontId="2" fillId="2" borderId="0" numFmtId="0" xfId="0" applyFont="1" applyFill="1" applyAlignment="1">
      <alignment horizontal="center"/>
    </xf>
    <xf fontId="2" fillId="0" borderId="0" numFmtId="0" xfId="0" applyFont="1" applyAlignment="1">
      <alignment horizontal="center"/>
    </xf>
    <xf fontId="2" fillId="2" borderId="0" numFmtId="167" xfId="0" applyNumberFormat="1" applyFont="1" applyFill="1"/>
    <xf fontId="2" fillId="0" borderId="0" numFmtId="167" xfId="0" applyNumberFormat="1" applyFont="1"/>
    <xf fontId="2" fillId="2" borderId="0" numFmtId="168" xfId="0" applyNumberFormat="1" applyFont="1" applyFill="1"/>
    <xf fontId="3" fillId="2" borderId="0" numFmtId="0" xfId="0" applyFont="1" applyFill="1" applyAlignment="1">
      <alignment horizontal="left"/>
    </xf>
    <xf fontId="4" fillId="2" borderId="0" numFmtId="167" xfId="1" applyNumberFormat="1" applyFont="1" applyFill="1" applyAlignment="1">
      <alignment horizontal="right"/>
    </xf>
    <xf fontId="5" fillId="2" borderId="0" numFmtId="0" xfId="0" applyFont="1" applyFill="1" applyAlignment="1">
      <alignment horizontal="center"/>
    </xf>
    <xf fontId="5" fillId="0" borderId="0" numFmtId="0" xfId="0" applyFont="1" applyAlignment="1">
      <alignment horizontal="center"/>
    </xf>
    <xf fontId="6" fillId="2" borderId="0" numFmtId="168" xfId="0" applyNumberFormat="1" applyFont="1" applyFill="1" applyAlignment="1">
      <alignment horizontal="left"/>
    </xf>
    <xf fontId="0" fillId="0" borderId="0" numFmtId="166" xfId="2" applyNumberFormat="1"/>
    <xf fontId="0" fillId="0" borderId="0" numFmtId="167" xfId="1" applyNumberFormat="1"/>
    <xf fontId="0" fillId="0" borderId="0" numFmtId="168" xfId="0" applyNumberFormat="1" applyAlignment="1">
      <alignment horizontal="center"/>
    </xf>
    <xf fontId="6" fillId="2" borderId="0" numFmtId="0" xfId="0" applyFont="1" applyFill="1" applyAlignment="1">
      <alignment horizontal="left"/>
    </xf>
    <xf fontId="6" fillId="2" borderId="0" numFmtId="0" xfId="0" applyFont="1" applyFill="1"/>
    <xf fontId="6" fillId="2" borderId="0" numFmtId="167" xfId="1" applyNumberFormat="1" applyFont="1" applyFill="1"/>
    <xf fontId="6" fillId="0" borderId="0" numFmtId="167" xfId="1" applyNumberFormat="1" applyFont="1" applyAlignment="1">
      <alignment horizontal="center"/>
    </xf>
    <xf fontId="6" fillId="2" borderId="0" numFmtId="168" xfId="0" applyNumberFormat="1" applyFont="1" applyFill="1" applyAlignment="1">
      <alignment horizontal="center"/>
    </xf>
    <xf fontId="6" fillId="0" borderId="0" numFmtId="168" xfId="0" applyNumberFormat="1" applyFont="1" applyAlignment="1">
      <alignment horizontal="center"/>
    </xf>
    <xf fontId="0" fillId="2" borderId="0" numFmtId="168" xfId="0" applyNumberFormat="1" applyFill="1" applyAlignment="1">
      <alignment horizontal="left"/>
    </xf>
    <xf fontId="0" fillId="2" borderId="0" numFmtId="0" xfId="0" applyFill="1"/>
    <xf fontId="0" fillId="2" borderId="0" numFmtId="167" xfId="1" applyNumberFormat="1" applyFill="1"/>
    <xf fontId="0" fillId="0" borderId="0" numFmtId="2" xfId="1" applyNumberFormat="1" applyAlignment="1">
      <alignment horizontal="center"/>
    </xf>
    <xf fontId="0" fillId="2" borderId="0" numFmtId="166" xfId="0" applyNumberFormat="1" applyFill="1" applyAlignment="1">
      <alignment horizontal="center"/>
    </xf>
    <xf fontId="0" fillId="0" borderId="0" numFmtId="166" xfId="0" applyNumberFormat="1" applyAlignment="1">
      <alignment horizontal="center"/>
    </xf>
    <xf fontId="0" fillId="0" borderId="0" numFmtId="9" xfId="3" applyNumberFormat="1" applyAlignment="1">
      <alignment horizontal="center"/>
    </xf>
    <xf fontId="7" fillId="0" borderId="0" numFmtId="0" xfId="0" applyFont="1"/>
    <xf fontId="0" fillId="2" borderId="0" numFmtId="168" xfId="0" applyNumberFormat="1" applyFill="1"/>
    <xf fontId="0" fillId="0" borderId="0" numFmtId="168" xfId="0" applyNumberFormat="1"/>
    <xf fontId="0" fillId="0" borderId="0" numFmtId="0" xfId="0"/>
    <xf fontId="8" fillId="0" borderId="0" numFmtId="0" xfId="0" applyFont="1"/>
    <xf fontId="0" fillId="0" borderId="0" numFmtId="0" xfId="0" quotePrefix="1"/>
    <xf fontId="0" fillId="0" borderId="1" numFmtId="168" xfId="0" applyNumberFormat="1" applyBorder="1"/>
    <xf fontId="0" fillId="0" borderId="1" numFmtId="0" xfId="0" applyBorder="1"/>
    <xf fontId="0" fillId="0" borderId="1" numFmtId="0" xfId="0" applyBorder="1" applyAlignment="1">
      <alignment horizontal="center"/>
    </xf>
    <xf fontId="0" fillId="0" borderId="1" numFmtId="166" xfId="0" applyNumberFormat="1" applyBorder="1" applyAlignment="1">
      <alignment horizontal="center"/>
    </xf>
    <xf fontId="6" fillId="0" borderId="0" numFmtId="168" xfId="0" applyNumberFormat="1" applyFont="1"/>
    <xf fontId="0" fillId="0" borderId="0" numFmtId="166" xfId="0" applyNumberFormat="1" applyAlignment="1">
      <alignment horizontal="right"/>
    </xf>
    <xf fontId="0" fillId="2" borderId="0" numFmtId="166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1" zoomScale="100" workbookViewId="0">
      <selection activeCell="C433" activeCellId="0" sqref="C433"/>
    </sheetView>
  </sheetViews>
  <sheetFormatPr defaultRowHeight="14.25"/>
  <cols>
    <col customWidth="1" min="1" max="1" width="12.140625"/>
    <col customWidth="1" min="2" max="2" width="15.42578125"/>
    <col customWidth="1" min="3" max="3" width="48.5703125"/>
    <col bestFit="1" customWidth="1" min="4" max="4" style="1" width="6.42578125"/>
    <col customWidth="1" min="5" max="5" width="14.7109375"/>
    <col customWidth="1" min="6" max="6" width="14"/>
    <col customWidth="1" min="7" max="7" width="14.7109375"/>
    <col customWidth="1" min="8" max="8" width="5.85546875"/>
    <col customWidth="1" min="9" max="9" width="15.42578125"/>
    <col customWidth="1" min="10" max="10" width="26.5703125"/>
    <col customWidth="1" min="11" max="11" width="4.140625"/>
    <col customWidth="1" min="12" max="12" width="3.42578125"/>
    <col customWidth="1" min="13" max="13" width="4.28515625"/>
    <col customWidth="1" min="14" max="14" width="5.85546875"/>
    <col customWidth="1" min="15" max="15" width="6.140625"/>
    <col bestFit="1" min="16" max="17" style="2" width="12"/>
    <col bestFit="1" min="19" max="20" width="11"/>
  </cols>
  <sheetData>
    <row r="1">
      <c r="A1" s="3"/>
      <c r="B1" s="3"/>
      <c r="C1" s="3"/>
      <c r="E1" s="4"/>
      <c r="F1" s="5"/>
      <c r="G1" s="4"/>
      <c r="I1" s="6"/>
      <c r="J1" s="4"/>
      <c r="K1" s="7"/>
      <c r="P1" s="2"/>
    </row>
    <row r="2">
      <c r="A2" s="3"/>
      <c r="B2" s="8"/>
      <c r="C2" s="8"/>
      <c r="D2" s="9"/>
      <c r="E2" s="10"/>
      <c r="F2" s="11"/>
      <c r="G2" s="10"/>
      <c r="I2" s="12"/>
      <c r="J2" s="4"/>
      <c r="K2" s="7"/>
    </row>
    <row r="3">
      <c r="A3" s="8"/>
      <c r="B3" s="8"/>
      <c r="C3" s="8"/>
      <c r="D3" s="9"/>
      <c r="E3" s="10"/>
      <c r="F3" s="11"/>
      <c r="G3" s="10"/>
      <c r="I3" s="12"/>
      <c r="J3" s="4"/>
      <c r="K3" s="7"/>
      <c r="O3">
        <v>1.2250000000000001</v>
      </c>
    </row>
    <row r="4">
      <c r="A4" s="13"/>
      <c r="B4" s="8"/>
      <c r="C4" s="8"/>
      <c r="D4" s="9"/>
      <c r="E4" s="10"/>
      <c r="F4" s="11"/>
      <c r="G4" s="10"/>
      <c r="I4" s="12"/>
      <c r="J4" s="4"/>
      <c r="K4" s="14"/>
      <c r="N4">
        <v>1.2</v>
      </c>
      <c r="O4">
        <v>1.2124999999999999</v>
      </c>
    </row>
    <row r="5" ht="18.75">
      <c r="A5" s="15"/>
      <c r="B5" s="15"/>
      <c r="C5" s="15"/>
      <c r="D5" s="16"/>
      <c r="E5" s="15"/>
      <c r="F5" s="16"/>
      <c r="G5" s="15"/>
      <c r="H5" s="16"/>
      <c r="I5" s="15"/>
      <c r="J5" s="15"/>
      <c r="K5" s="15"/>
      <c r="N5">
        <v>1.2</v>
      </c>
      <c r="O5">
        <v>1.20625</v>
      </c>
    </row>
    <row r="6" ht="18.75">
      <c r="A6" s="15"/>
      <c r="B6" s="15"/>
      <c r="C6" s="15"/>
      <c r="D6" s="16"/>
      <c r="E6" s="15"/>
      <c r="F6" s="16"/>
      <c r="G6" s="15"/>
      <c r="H6" s="16"/>
      <c r="I6" s="15"/>
      <c r="J6" s="15"/>
      <c r="K6" s="15"/>
      <c r="N6">
        <v>1.2</v>
      </c>
      <c r="O6">
        <v>1.2</v>
      </c>
    </row>
    <row r="7">
      <c r="G7" t="s">
        <v>0</v>
      </c>
      <c r="H7">
        <v>88</v>
      </c>
    </row>
    <row r="9">
      <c r="A9" s="17" t="s">
        <v>1</v>
      </c>
      <c r="B9" s="18"/>
      <c r="C9" s="19"/>
      <c r="D9" s="5"/>
      <c r="E9" s="6"/>
      <c r="F9" s="20"/>
      <c r="G9" s="6"/>
      <c r="H9" s="20"/>
    </row>
    <row r="10">
      <c r="A10" s="21" t="s">
        <v>2</v>
      </c>
      <c r="B10" s="22" t="s">
        <v>3</v>
      </c>
      <c r="C10" s="23" t="s">
        <v>4</v>
      </c>
      <c r="D10" s="24" t="s">
        <v>5</v>
      </c>
      <c r="E10" s="25" t="s">
        <v>6</v>
      </c>
      <c r="F10" s="26" t="s">
        <v>7</v>
      </c>
      <c r="G10" s="25" t="s">
        <v>8</v>
      </c>
      <c r="H10" s="26" t="s">
        <v>9</v>
      </c>
      <c r="I10" s="22" t="s">
        <v>10</v>
      </c>
      <c r="J10" s="22" t="s">
        <v>11</v>
      </c>
    </row>
    <row r="11">
      <c r="A11" s="27">
        <v>44769</v>
      </c>
      <c r="B11" s="28"/>
      <c r="C11" s="29"/>
      <c r="D11" s="30"/>
      <c r="E11" s="31"/>
      <c r="F11" s="32">
        <f t="shared" ref="F11:F74" si="0">SUM($E$11:E11)</f>
        <v>0</v>
      </c>
      <c r="G11" s="31">
        <v>24981.700000000001</v>
      </c>
      <c r="H11" s="33">
        <f t="shared" ref="H11:H74" si="1">IF(F11/$H$7&lt;50000,$N$1,IF(F11/$H$7&lt;100000,$N$2,IF(F11/$H$7&lt;150000,$N$3,IF(F11/$H$7&lt;200000,$N$4,IF(F11/$H$7&lt;250000,$N$5,$N$6)))))</f>
        <v>0</v>
      </c>
      <c r="I11" s="31">
        <f>G11-E11*1.03*H11</f>
        <v>24981.700000000001</v>
      </c>
      <c r="J11" s="28"/>
      <c r="N11" s="34"/>
    </row>
    <row r="12">
      <c r="A12" s="35">
        <v>44794</v>
      </c>
      <c r="D12" s="1" t="s">
        <v>12</v>
      </c>
      <c r="E12" s="31">
        <v>695</v>
      </c>
      <c r="F12" s="32">
        <f t="shared" si="0"/>
        <v>695</v>
      </c>
      <c r="G12" s="31"/>
      <c r="H12" s="33">
        <f t="shared" si="1"/>
        <v>0</v>
      </c>
      <c r="I12" s="32">
        <f t="shared" ref="I12:I75" si="2">G12+I11-E12*IF(D12="P",1.03,1)*H12</f>
        <v>24981.700000000001</v>
      </c>
      <c r="N12" s="34"/>
    </row>
    <row r="13">
      <c r="A13" s="35">
        <v>44794</v>
      </c>
      <c r="D13" s="1" t="s">
        <v>12</v>
      </c>
      <c r="E13" s="31">
        <f>16128*0.3</f>
        <v>4838.3999999999996</v>
      </c>
      <c r="F13" s="32">
        <f t="shared" si="0"/>
        <v>5533.3999999999996</v>
      </c>
      <c r="G13" s="31"/>
      <c r="H13" s="33">
        <f t="shared" si="1"/>
        <v>0</v>
      </c>
      <c r="I13" s="32">
        <f t="shared" si="2"/>
        <v>24981.700000000001</v>
      </c>
      <c r="N13" s="34"/>
    </row>
    <row r="14">
      <c r="A14" s="35">
        <v>44796</v>
      </c>
      <c r="E14" s="31"/>
      <c r="F14" s="32">
        <f t="shared" si="0"/>
        <v>5533.3999999999996</v>
      </c>
      <c r="G14" s="31">
        <v>249981.70000000001</v>
      </c>
      <c r="H14" s="33">
        <f t="shared" si="1"/>
        <v>0</v>
      </c>
      <c r="I14" s="32">
        <f t="shared" si="2"/>
        <v>274963.40000000002</v>
      </c>
      <c r="N14" s="34"/>
    </row>
    <row r="15">
      <c r="A15" s="35">
        <v>44797</v>
      </c>
      <c r="B15" s="28"/>
      <c r="C15" s="28"/>
      <c r="E15" s="31"/>
      <c r="F15" s="32">
        <f t="shared" si="0"/>
        <v>5533.3999999999996</v>
      </c>
      <c r="G15" s="31">
        <v>129084</v>
      </c>
      <c r="H15" s="33">
        <f t="shared" si="1"/>
        <v>0</v>
      </c>
      <c r="I15" s="32">
        <f t="shared" si="2"/>
        <v>404047.40000000002</v>
      </c>
      <c r="N15" s="34"/>
    </row>
    <row r="16">
      <c r="A16" s="35">
        <v>44797</v>
      </c>
      <c r="D16" s="1" t="s">
        <v>12</v>
      </c>
      <c r="E16" s="31">
        <v>70177</v>
      </c>
      <c r="F16" s="32">
        <f t="shared" si="0"/>
        <v>75710.399999999994</v>
      </c>
      <c r="G16" s="31"/>
      <c r="H16" s="33">
        <f t="shared" si="1"/>
        <v>0</v>
      </c>
      <c r="I16" s="32">
        <f t="shared" si="2"/>
        <v>404047.40000000002</v>
      </c>
      <c r="N16" s="34"/>
    </row>
    <row r="17">
      <c r="A17" s="35">
        <v>44797</v>
      </c>
      <c r="D17" s="1" t="s">
        <v>12</v>
      </c>
      <c r="E17" s="31">
        <v>1188</v>
      </c>
      <c r="F17" s="32">
        <f t="shared" si="0"/>
        <v>76898.399999999994</v>
      </c>
      <c r="G17" s="31"/>
      <c r="H17" s="33">
        <f t="shared" si="1"/>
        <v>0</v>
      </c>
      <c r="I17" s="32">
        <f t="shared" si="2"/>
        <v>404047.40000000002</v>
      </c>
      <c r="N17" s="34"/>
    </row>
    <row r="18">
      <c r="A18" s="35">
        <v>44797</v>
      </c>
      <c r="B18" s="28"/>
      <c r="D18" s="1" t="s">
        <v>12</v>
      </c>
      <c r="E18" s="31">
        <v>110470.56</v>
      </c>
      <c r="F18" s="32">
        <f t="shared" si="0"/>
        <v>187368.95999999999</v>
      </c>
      <c r="G18" s="31"/>
      <c r="H18" s="33">
        <f t="shared" si="1"/>
        <v>0</v>
      </c>
      <c r="I18" s="32">
        <f t="shared" si="2"/>
        <v>404047.40000000002</v>
      </c>
      <c r="J18" t="s">
        <v>13</v>
      </c>
      <c r="N18" s="34"/>
    </row>
    <row r="19">
      <c r="A19" s="35">
        <v>44797</v>
      </c>
      <c r="B19" s="28"/>
      <c r="D19" s="1" t="s">
        <v>12</v>
      </c>
      <c r="E19" s="31">
        <v>105478</v>
      </c>
      <c r="F19" s="32">
        <f t="shared" si="0"/>
        <v>292846.95999999996</v>
      </c>
      <c r="G19" s="31"/>
      <c r="H19" s="33">
        <f t="shared" si="1"/>
        <v>0</v>
      </c>
      <c r="I19" s="32">
        <f t="shared" si="2"/>
        <v>404047.40000000002</v>
      </c>
      <c r="J19" s="28" t="s">
        <v>13</v>
      </c>
      <c r="N19" s="34"/>
    </row>
    <row r="20">
      <c r="A20" s="35">
        <v>44798</v>
      </c>
      <c r="C20" s="28"/>
      <c r="D20" s="1" t="s">
        <v>12</v>
      </c>
      <c r="E20" s="31">
        <v>4817.3400000000001</v>
      </c>
      <c r="F20" s="32">
        <f t="shared" si="0"/>
        <v>297664.29999999999</v>
      </c>
      <c r="G20" s="31"/>
      <c r="H20" s="33">
        <f t="shared" si="1"/>
        <v>0</v>
      </c>
      <c r="I20" s="32">
        <f t="shared" si="2"/>
        <v>404047.40000000002</v>
      </c>
      <c r="N20" s="34"/>
    </row>
    <row r="21">
      <c r="A21" s="35">
        <v>44804</v>
      </c>
      <c r="D21" s="1" t="s">
        <v>12</v>
      </c>
      <c r="E21" s="31">
        <v>75.200000000000003</v>
      </c>
      <c r="F21" s="32">
        <f t="shared" si="0"/>
        <v>297739.5</v>
      </c>
      <c r="G21" s="31"/>
      <c r="H21" s="33">
        <f t="shared" si="1"/>
        <v>0</v>
      </c>
      <c r="I21" s="32">
        <f t="shared" si="2"/>
        <v>404047.40000000002</v>
      </c>
      <c r="N21" s="34"/>
    </row>
    <row r="22">
      <c r="A22" s="35">
        <v>44806</v>
      </c>
      <c r="B22" s="28"/>
      <c r="C22" s="28"/>
      <c r="D22" s="1" t="s">
        <v>12</v>
      </c>
      <c r="E22" s="31">
        <v>5682</v>
      </c>
      <c r="F22" s="32">
        <f t="shared" si="0"/>
        <v>303421.5</v>
      </c>
      <c r="G22" s="31"/>
      <c r="H22" s="33">
        <f t="shared" si="1"/>
        <v>0</v>
      </c>
      <c r="I22" s="32">
        <f t="shared" si="2"/>
        <v>404047.40000000002</v>
      </c>
      <c r="J22" s="28" t="s">
        <v>14</v>
      </c>
      <c r="N22" s="34"/>
    </row>
    <row r="23">
      <c r="A23" s="35">
        <v>44807</v>
      </c>
      <c r="D23" s="1" t="s">
        <v>12</v>
      </c>
      <c r="E23" s="31">
        <f>2.85*10640*0.7</f>
        <v>21226.799999999999</v>
      </c>
      <c r="F23" s="32">
        <f t="shared" si="0"/>
        <v>324648.29999999999</v>
      </c>
      <c r="G23" s="31"/>
      <c r="H23" s="33">
        <f t="shared" si="1"/>
        <v>0</v>
      </c>
      <c r="I23" s="32">
        <f t="shared" si="2"/>
        <v>404047.40000000002</v>
      </c>
      <c r="N23" s="34"/>
    </row>
    <row r="24">
      <c r="A24" s="35">
        <v>44807</v>
      </c>
      <c r="B24" s="28"/>
      <c r="C24" s="28"/>
      <c r="D24" s="1" t="s">
        <v>12</v>
      </c>
      <c r="E24" s="31">
        <v>6222</v>
      </c>
      <c r="F24" s="32">
        <f t="shared" si="0"/>
        <v>330870.29999999999</v>
      </c>
      <c r="G24" s="31"/>
      <c r="H24" s="33">
        <f t="shared" si="1"/>
        <v>0</v>
      </c>
      <c r="I24" s="32">
        <f t="shared" si="2"/>
        <v>404047.40000000002</v>
      </c>
      <c r="N24" s="34"/>
    </row>
    <row r="25">
      <c r="A25" s="35">
        <v>44811</v>
      </c>
      <c r="D25" s="1" t="s">
        <v>12</v>
      </c>
      <c r="E25" s="31">
        <v>1440</v>
      </c>
      <c r="F25" s="32">
        <f t="shared" si="0"/>
        <v>332310.29999999999</v>
      </c>
      <c r="G25" s="31"/>
      <c r="H25" s="33">
        <f t="shared" si="1"/>
        <v>0</v>
      </c>
      <c r="I25" s="32">
        <f t="shared" si="2"/>
        <v>404047.40000000002</v>
      </c>
      <c r="N25" s="34"/>
    </row>
    <row r="26">
      <c r="A26" s="35">
        <v>44811</v>
      </c>
      <c r="D26" s="1" t="s">
        <v>12</v>
      </c>
      <c r="E26" s="31">
        <f>10200*0.31*0.3</f>
        <v>948.59999999999991</v>
      </c>
      <c r="F26" s="32">
        <f t="shared" si="0"/>
        <v>333258.89999999997</v>
      </c>
      <c r="G26" s="31"/>
      <c r="H26" s="33">
        <f t="shared" si="1"/>
        <v>0</v>
      </c>
      <c r="I26" s="32">
        <f t="shared" si="2"/>
        <v>404047.40000000002</v>
      </c>
      <c r="N26" s="34"/>
    </row>
    <row r="27">
      <c r="A27" s="35">
        <v>44812</v>
      </c>
      <c r="B27" s="28"/>
      <c r="C27" s="28"/>
      <c r="D27" s="1" t="s">
        <v>12</v>
      </c>
      <c r="E27" s="31">
        <v>3045</v>
      </c>
      <c r="F27" s="32">
        <f t="shared" si="0"/>
        <v>336303.89999999997</v>
      </c>
      <c r="G27" s="31"/>
      <c r="H27" s="33">
        <f t="shared" si="1"/>
        <v>0</v>
      </c>
      <c r="I27" s="32">
        <f t="shared" si="2"/>
        <v>404047.40000000002</v>
      </c>
      <c r="J27" s="28" t="s">
        <v>15</v>
      </c>
      <c r="N27" s="34"/>
    </row>
    <row r="28">
      <c r="A28" s="35">
        <v>44817</v>
      </c>
      <c r="B28" s="28"/>
      <c r="C28" s="28"/>
      <c r="D28" s="1" t="s">
        <v>12</v>
      </c>
      <c r="E28" s="31">
        <v>11270</v>
      </c>
      <c r="F28" s="32">
        <f t="shared" si="0"/>
        <v>347573.89999999997</v>
      </c>
      <c r="G28" s="31"/>
      <c r="H28" s="33">
        <f t="shared" si="1"/>
        <v>0</v>
      </c>
      <c r="I28" s="32">
        <f t="shared" si="2"/>
        <v>404047.40000000002</v>
      </c>
      <c r="N28" s="34"/>
    </row>
    <row r="29">
      <c r="A29" s="35">
        <v>44817</v>
      </c>
      <c r="B29" s="28"/>
      <c r="C29" s="28"/>
      <c r="D29" s="1" t="s">
        <v>12</v>
      </c>
      <c r="E29" s="31">
        <v>10254</v>
      </c>
      <c r="F29" s="32">
        <f t="shared" si="0"/>
        <v>357827.89999999997</v>
      </c>
      <c r="G29" s="31"/>
      <c r="H29" s="33">
        <f t="shared" si="1"/>
        <v>0</v>
      </c>
      <c r="I29" s="32">
        <f t="shared" si="2"/>
        <v>404047.40000000002</v>
      </c>
      <c r="N29" s="34"/>
    </row>
    <row r="30">
      <c r="A30" s="35">
        <v>44818</v>
      </c>
      <c r="B30" s="28"/>
      <c r="C30" s="28"/>
      <c r="D30" s="1" t="s">
        <v>12</v>
      </c>
      <c r="E30" s="31">
        <f>2.6386*10000</f>
        <v>26386</v>
      </c>
      <c r="F30" s="32">
        <f t="shared" si="0"/>
        <v>384213.89999999997</v>
      </c>
      <c r="G30" s="31"/>
      <c r="H30" s="33">
        <f t="shared" si="1"/>
        <v>0</v>
      </c>
      <c r="I30" s="32">
        <f t="shared" si="2"/>
        <v>404047.40000000002</v>
      </c>
      <c r="J30" s="28" t="s">
        <v>16</v>
      </c>
      <c r="N30" s="34"/>
    </row>
    <row r="31">
      <c r="A31" s="35">
        <v>44818</v>
      </c>
      <c r="B31" s="28"/>
      <c r="C31" s="28"/>
      <c r="D31" s="1" t="s">
        <v>12</v>
      </c>
      <c r="E31" s="31">
        <v>3410</v>
      </c>
      <c r="F31" s="32">
        <f t="shared" si="0"/>
        <v>387623.89999999997</v>
      </c>
      <c r="G31" s="31"/>
      <c r="H31" s="33">
        <f t="shared" si="1"/>
        <v>0</v>
      </c>
      <c r="I31" s="32">
        <f t="shared" si="2"/>
        <v>404047.40000000002</v>
      </c>
      <c r="N31" s="34"/>
    </row>
    <row r="32">
      <c r="A32" s="35">
        <v>44818</v>
      </c>
      <c r="B32" s="28"/>
      <c r="C32" s="28"/>
      <c r="D32" s="1" t="s">
        <v>12</v>
      </c>
      <c r="E32" s="31">
        <v>306</v>
      </c>
      <c r="F32" s="32">
        <f t="shared" si="0"/>
        <v>387929.89999999997</v>
      </c>
      <c r="G32" s="31"/>
      <c r="H32" s="33">
        <f t="shared" si="1"/>
        <v>0</v>
      </c>
      <c r="I32" s="32">
        <f t="shared" si="2"/>
        <v>404047.40000000002</v>
      </c>
      <c r="N32" s="34"/>
    </row>
    <row r="33">
      <c r="A33" s="35">
        <v>44818</v>
      </c>
      <c r="B33" s="28"/>
      <c r="C33" s="28"/>
      <c r="D33" s="1" t="s">
        <v>12</v>
      </c>
      <c r="E33" s="31">
        <v>2510</v>
      </c>
      <c r="F33" s="32">
        <f t="shared" si="0"/>
        <v>390439.89999999997</v>
      </c>
      <c r="G33" s="31"/>
      <c r="H33" s="33">
        <f t="shared" si="1"/>
        <v>0</v>
      </c>
      <c r="I33" s="32">
        <f t="shared" si="2"/>
        <v>404047.40000000002</v>
      </c>
      <c r="J33" s="28" t="s">
        <v>17</v>
      </c>
      <c r="N33" s="34"/>
    </row>
    <row r="34">
      <c r="A34" s="35">
        <v>44819</v>
      </c>
      <c r="B34" s="28"/>
      <c r="C34" s="28"/>
      <c r="D34" s="1" t="s">
        <v>12</v>
      </c>
      <c r="E34" s="31">
        <v>4009</v>
      </c>
      <c r="F34" s="32">
        <f t="shared" si="0"/>
        <v>394448.89999999997</v>
      </c>
      <c r="G34" s="31"/>
      <c r="H34" s="33">
        <f t="shared" si="1"/>
        <v>0</v>
      </c>
      <c r="I34" s="32">
        <f t="shared" si="2"/>
        <v>404047.40000000002</v>
      </c>
      <c r="N34" s="34"/>
    </row>
    <row r="35">
      <c r="A35" s="35">
        <v>44819</v>
      </c>
      <c r="C35" s="28"/>
      <c r="D35" s="1" t="s">
        <v>12</v>
      </c>
      <c r="E35" s="31">
        <f>0.026*90000</f>
        <v>2340</v>
      </c>
      <c r="F35" s="32">
        <f t="shared" si="0"/>
        <v>396788.89999999997</v>
      </c>
      <c r="G35" s="31"/>
      <c r="H35" s="33">
        <f t="shared" si="1"/>
        <v>0</v>
      </c>
      <c r="I35" s="32">
        <f t="shared" si="2"/>
        <v>404047.40000000002</v>
      </c>
      <c r="N35" s="34"/>
    </row>
    <row r="36">
      <c r="A36" s="35">
        <v>44823</v>
      </c>
      <c r="B36" s="28"/>
      <c r="D36" s="1" t="s">
        <v>12</v>
      </c>
      <c r="E36" s="31">
        <f>69615/7.8</f>
        <v>8925</v>
      </c>
      <c r="F36" s="32">
        <f t="shared" si="0"/>
        <v>405713.89999999997</v>
      </c>
      <c r="G36" s="31"/>
      <c r="H36" s="33">
        <f t="shared" si="1"/>
        <v>0</v>
      </c>
      <c r="I36" s="32">
        <f t="shared" si="2"/>
        <v>404047.40000000002</v>
      </c>
      <c r="N36" s="34"/>
    </row>
    <row r="37">
      <c r="A37" s="35">
        <v>44825</v>
      </c>
      <c r="B37" s="28"/>
      <c r="C37" s="28"/>
      <c r="D37" s="1" t="s">
        <v>12</v>
      </c>
      <c r="E37" s="31">
        <v>2514.1500000000001</v>
      </c>
      <c r="F37" s="32">
        <f t="shared" si="0"/>
        <v>408228.04999999999</v>
      </c>
      <c r="G37" s="31"/>
      <c r="H37" s="33">
        <f t="shared" si="1"/>
        <v>0</v>
      </c>
      <c r="I37" s="32">
        <f t="shared" si="2"/>
        <v>404047.40000000002</v>
      </c>
      <c r="J37" s="28" t="s">
        <v>18</v>
      </c>
      <c r="N37" s="34"/>
    </row>
    <row r="38">
      <c r="A38" s="35">
        <v>44826</v>
      </c>
      <c r="B38" s="28"/>
      <c r="C38" s="28"/>
      <c r="D38" s="1" t="s">
        <v>12</v>
      </c>
      <c r="E38" s="31">
        <v>1267.6400000000001</v>
      </c>
      <c r="F38" s="32">
        <f t="shared" si="0"/>
        <v>409495.69</v>
      </c>
      <c r="G38" s="31"/>
      <c r="H38" s="33">
        <f t="shared" si="1"/>
        <v>0</v>
      </c>
      <c r="I38" s="32">
        <f t="shared" si="2"/>
        <v>404047.40000000002</v>
      </c>
      <c r="N38" s="34"/>
    </row>
    <row r="39">
      <c r="A39" s="35">
        <v>44826</v>
      </c>
      <c r="B39" s="28"/>
      <c r="C39" s="28"/>
      <c r="D39" s="1" t="s">
        <v>12</v>
      </c>
      <c r="E39" s="31">
        <v>233</v>
      </c>
      <c r="F39" s="32">
        <f t="shared" si="0"/>
        <v>409728.69</v>
      </c>
      <c r="G39" s="31"/>
      <c r="H39" s="33">
        <f t="shared" si="1"/>
        <v>0</v>
      </c>
      <c r="I39" s="32">
        <f t="shared" si="2"/>
        <v>404047.40000000002</v>
      </c>
      <c r="N39" s="34"/>
    </row>
    <row r="40">
      <c r="A40" s="35">
        <v>44833</v>
      </c>
      <c r="B40" s="28"/>
      <c r="D40" s="1" t="s">
        <v>12</v>
      </c>
      <c r="E40" s="31">
        <v>6250</v>
      </c>
      <c r="F40" s="32">
        <f t="shared" si="0"/>
        <v>415978.69</v>
      </c>
      <c r="G40" s="31"/>
      <c r="H40" s="33">
        <f t="shared" si="1"/>
        <v>0</v>
      </c>
      <c r="I40" s="32">
        <f t="shared" si="2"/>
        <v>404047.40000000002</v>
      </c>
      <c r="N40" s="34"/>
    </row>
    <row r="41">
      <c r="A41" s="35">
        <v>44841</v>
      </c>
      <c r="B41" s="28"/>
      <c r="C41" s="28"/>
      <c r="D41" s="1" t="s">
        <v>12</v>
      </c>
      <c r="E41" s="31">
        <v>14580</v>
      </c>
      <c r="F41" s="32">
        <f t="shared" si="0"/>
        <v>430558.69</v>
      </c>
      <c r="G41" s="31"/>
      <c r="H41" s="33">
        <f t="shared" si="1"/>
        <v>0</v>
      </c>
      <c r="I41" s="32">
        <f t="shared" si="2"/>
        <v>404047.40000000002</v>
      </c>
      <c r="N41" s="34"/>
    </row>
    <row r="42">
      <c r="E42" s="31"/>
      <c r="F42" s="32">
        <f t="shared" si="0"/>
        <v>430558.69</v>
      </c>
      <c r="G42" s="31">
        <v>118102.03999999999</v>
      </c>
      <c r="H42" s="33">
        <f t="shared" si="1"/>
        <v>0</v>
      </c>
      <c r="I42" s="32">
        <f t="shared" si="2"/>
        <v>522149.44</v>
      </c>
      <c r="N42" s="34"/>
    </row>
    <row r="43">
      <c r="A43" s="35">
        <v>44847</v>
      </c>
      <c r="B43" s="28"/>
      <c r="D43" s="1" t="s">
        <v>12</v>
      </c>
      <c r="E43" s="31">
        <v>4650</v>
      </c>
      <c r="F43" s="32">
        <f t="shared" si="0"/>
        <v>435208.69</v>
      </c>
      <c r="G43" s="31"/>
      <c r="H43" s="33">
        <f t="shared" si="1"/>
        <v>0</v>
      </c>
      <c r="I43" s="32">
        <f t="shared" si="2"/>
        <v>522149.44</v>
      </c>
      <c r="J43" s="28"/>
      <c r="N43" s="34"/>
    </row>
    <row r="44">
      <c r="A44" s="35">
        <v>44847</v>
      </c>
      <c r="C44" s="28"/>
      <c r="D44" s="1" t="s">
        <v>12</v>
      </c>
      <c r="E44" s="31">
        <v>3820</v>
      </c>
      <c r="F44" s="32">
        <f t="shared" si="0"/>
        <v>439028.69</v>
      </c>
      <c r="G44" s="31"/>
      <c r="H44" s="33">
        <f t="shared" si="1"/>
        <v>0</v>
      </c>
      <c r="I44" s="32">
        <f t="shared" si="2"/>
        <v>522149.44</v>
      </c>
      <c r="J44" s="28"/>
      <c r="N44" s="34"/>
    </row>
    <row r="45">
      <c r="A45" s="35">
        <v>44847</v>
      </c>
      <c r="C45" s="28"/>
      <c r="D45" s="1" t="s">
        <v>12</v>
      </c>
      <c r="E45" s="31">
        <v>8394.5300000000007</v>
      </c>
      <c r="F45" s="32">
        <f t="shared" si="0"/>
        <v>447423.22000000003</v>
      </c>
      <c r="G45" s="31"/>
      <c r="H45" s="33">
        <f t="shared" si="1"/>
        <v>0</v>
      </c>
      <c r="I45" s="32">
        <f t="shared" si="2"/>
        <v>522149.44</v>
      </c>
      <c r="J45" s="28"/>
      <c r="N45" s="34"/>
    </row>
    <row r="46">
      <c r="A46" s="35">
        <v>44852</v>
      </c>
      <c r="B46" s="28"/>
      <c r="C46" s="28"/>
      <c r="D46" s="1" t="s">
        <v>12</v>
      </c>
      <c r="E46" s="31">
        <v>52695</v>
      </c>
      <c r="F46" s="32">
        <f t="shared" si="0"/>
        <v>500118.22000000003</v>
      </c>
      <c r="G46" s="31"/>
      <c r="H46" s="33">
        <f t="shared" si="1"/>
        <v>0</v>
      </c>
      <c r="I46" s="32">
        <f t="shared" si="2"/>
        <v>522149.44</v>
      </c>
      <c r="J46" s="28"/>
      <c r="N46" s="34"/>
    </row>
    <row r="47">
      <c r="A47" s="35">
        <v>44856</v>
      </c>
      <c r="B47" s="28"/>
      <c r="C47" s="28"/>
      <c r="D47" s="1" t="s">
        <v>12</v>
      </c>
      <c r="E47" s="31">
        <v>2995.6900000000001</v>
      </c>
      <c r="F47" s="32">
        <f t="shared" si="0"/>
        <v>503113.91000000003</v>
      </c>
      <c r="G47" s="31"/>
      <c r="H47" s="33">
        <f t="shared" si="1"/>
        <v>0</v>
      </c>
      <c r="I47" s="32">
        <f t="shared" si="2"/>
        <v>522149.44</v>
      </c>
      <c r="J47" s="28"/>
      <c r="N47" s="34"/>
    </row>
    <row r="48">
      <c r="A48" s="36">
        <v>44856</v>
      </c>
      <c r="D48" s="1" t="s">
        <v>12</v>
      </c>
      <c r="E48" s="32">
        <f>19*25</f>
        <v>475</v>
      </c>
      <c r="F48" s="32">
        <f t="shared" si="0"/>
        <v>503588.91000000003</v>
      </c>
      <c r="G48" s="32"/>
      <c r="H48" s="33">
        <f t="shared" si="1"/>
        <v>0</v>
      </c>
      <c r="I48" s="32">
        <f t="shared" si="2"/>
        <v>522149.44</v>
      </c>
      <c r="N48" s="34"/>
    </row>
    <row r="49">
      <c r="A49" s="35">
        <v>44860</v>
      </c>
      <c r="B49" s="28"/>
      <c r="D49" s="1" t="s">
        <v>12</v>
      </c>
      <c r="E49" s="31">
        <v>3628.48</v>
      </c>
      <c r="F49" s="32">
        <f t="shared" si="0"/>
        <v>507217.39000000001</v>
      </c>
      <c r="G49" s="31"/>
      <c r="H49" s="33">
        <f t="shared" si="1"/>
        <v>0</v>
      </c>
      <c r="I49" s="32">
        <f t="shared" si="2"/>
        <v>522149.44</v>
      </c>
      <c r="J49" t="s">
        <v>19</v>
      </c>
      <c r="N49" s="34"/>
    </row>
    <row r="50">
      <c r="A50" s="35">
        <v>44860</v>
      </c>
      <c r="B50" s="28"/>
      <c r="C50" s="28"/>
      <c r="D50" s="1" t="s">
        <v>12</v>
      </c>
      <c r="E50" s="31"/>
      <c r="F50" s="32">
        <f t="shared" si="0"/>
        <v>507217.39000000001</v>
      </c>
      <c r="G50" s="31">
        <v>226449.70000000001</v>
      </c>
      <c r="H50" s="33">
        <f t="shared" si="1"/>
        <v>0</v>
      </c>
      <c r="I50" s="32">
        <f t="shared" si="2"/>
        <v>748599.14000000001</v>
      </c>
      <c r="J50" s="28"/>
      <c r="N50" s="34"/>
    </row>
    <row r="51">
      <c r="A51" s="35">
        <v>44861</v>
      </c>
      <c r="B51" s="28"/>
      <c r="D51" s="1" t="s">
        <v>12</v>
      </c>
      <c r="E51" s="31">
        <f>2.85*10640*0.3</f>
        <v>9097.1999999999989</v>
      </c>
      <c r="F51" s="32">
        <f t="shared" si="0"/>
        <v>516314.59000000003</v>
      </c>
      <c r="G51" s="31"/>
      <c r="H51" s="33">
        <f t="shared" si="1"/>
        <v>0</v>
      </c>
      <c r="I51" s="32">
        <f t="shared" si="2"/>
        <v>748599.14000000001</v>
      </c>
      <c r="J51" s="28"/>
      <c r="N51" s="34"/>
    </row>
    <row r="52">
      <c r="A52" s="35">
        <v>44865</v>
      </c>
      <c r="B52" s="28"/>
      <c r="D52" s="1" t="s">
        <v>12</v>
      </c>
      <c r="E52" s="31">
        <f>833.33</f>
        <v>833.33000000000004</v>
      </c>
      <c r="F52" s="32">
        <f t="shared" si="0"/>
        <v>517147.92000000004</v>
      </c>
      <c r="G52" s="31"/>
      <c r="H52" s="33">
        <f t="shared" si="1"/>
        <v>0</v>
      </c>
      <c r="I52" s="32">
        <f t="shared" si="2"/>
        <v>748599.14000000001</v>
      </c>
      <c r="J52" s="28"/>
      <c r="N52" s="34"/>
    </row>
    <row r="53">
      <c r="A53" s="35">
        <v>44866</v>
      </c>
      <c r="B53" s="28"/>
      <c r="C53" s="28"/>
      <c r="D53" s="1" t="s">
        <v>12</v>
      </c>
      <c r="E53" s="31">
        <v>14833.77</v>
      </c>
      <c r="F53" s="32">
        <f t="shared" si="0"/>
        <v>531981.69000000006</v>
      </c>
      <c r="G53" s="31"/>
      <c r="H53" s="33">
        <f t="shared" si="1"/>
        <v>0</v>
      </c>
      <c r="I53" s="32">
        <f t="shared" si="2"/>
        <v>748599.14000000001</v>
      </c>
      <c r="J53" s="28" t="s">
        <v>20</v>
      </c>
      <c r="N53" s="34"/>
    </row>
    <row r="54">
      <c r="A54" s="35">
        <v>44866</v>
      </c>
      <c r="B54" s="28"/>
      <c r="C54" s="28"/>
      <c r="D54" s="1" t="s">
        <v>12</v>
      </c>
      <c r="E54" s="31">
        <v>30450</v>
      </c>
      <c r="F54" s="32">
        <f t="shared" si="0"/>
        <v>562431.69000000006</v>
      </c>
      <c r="G54" s="31"/>
      <c r="H54" s="33">
        <f t="shared" si="1"/>
        <v>0</v>
      </c>
      <c r="I54" s="32">
        <f t="shared" si="2"/>
        <v>748599.14000000001</v>
      </c>
      <c r="J54" s="28" t="s">
        <v>20</v>
      </c>
      <c r="N54" s="34"/>
    </row>
    <row r="55">
      <c r="A55" s="35">
        <v>44866</v>
      </c>
      <c r="B55" s="28"/>
      <c r="C55" s="28"/>
      <c r="D55" s="1" t="s">
        <v>12</v>
      </c>
      <c r="E55" s="31">
        <v>7944</v>
      </c>
      <c r="F55" s="32">
        <f t="shared" si="0"/>
        <v>570375.69000000006</v>
      </c>
      <c r="G55" s="31"/>
      <c r="H55" s="33">
        <f t="shared" si="1"/>
        <v>0</v>
      </c>
      <c r="I55" s="32">
        <f t="shared" si="2"/>
        <v>748599.14000000001</v>
      </c>
      <c r="J55" s="28" t="s">
        <v>20</v>
      </c>
      <c r="N55" s="34"/>
    </row>
    <row r="56">
      <c r="A56" s="35">
        <v>44867</v>
      </c>
      <c r="B56" s="28"/>
      <c r="D56" s="1" t="s">
        <v>12</v>
      </c>
      <c r="E56" s="31">
        <v>2196</v>
      </c>
      <c r="F56" s="32">
        <f t="shared" si="0"/>
        <v>572571.69000000006</v>
      </c>
      <c r="G56" s="31"/>
      <c r="H56" s="33">
        <f t="shared" si="1"/>
        <v>0</v>
      </c>
      <c r="I56" s="32">
        <f t="shared" si="2"/>
        <v>748599.14000000001</v>
      </c>
      <c r="J56" s="28" t="s">
        <v>21</v>
      </c>
      <c r="N56" s="34"/>
    </row>
    <row r="57">
      <c r="A57" s="35">
        <v>44868</v>
      </c>
      <c r="B57" s="28"/>
      <c r="C57" s="28"/>
      <c r="D57" s="1" t="s">
        <v>12</v>
      </c>
      <c r="E57" s="31">
        <f>70000*2.09*0.7</f>
        <v>102410</v>
      </c>
      <c r="F57" s="32">
        <f t="shared" si="0"/>
        <v>674981.69000000006</v>
      </c>
      <c r="G57" s="31"/>
      <c r="H57" s="33">
        <f t="shared" si="1"/>
        <v>0</v>
      </c>
      <c r="I57" s="32">
        <f t="shared" si="2"/>
        <v>748599.14000000001</v>
      </c>
      <c r="J57" s="28"/>
      <c r="N57" s="34"/>
    </row>
    <row r="58">
      <c r="A58" s="35">
        <v>44868</v>
      </c>
      <c r="B58" s="28"/>
      <c r="C58" s="28"/>
      <c r="D58" s="1" t="s">
        <v>12</v>
      </c>
      <c r="E58" s="31">
        <f>22842*0.3</f>
        <v>6852.5999999999995</v>
      </c>
      <c r="F58" s="32">
        <f t="shared" si="0"/>
        <v>681834.29000000004</v>
      </c>
      <c r="G58" s="31"/>
      <c r="H58" s="33">
        <f t="shared" si="1"/>
        <v>0</v>
      </c>
      <c r="I58" s="32">
        <f t="shared" si="2"/>
        <v>748599.14000000001</v>
      </c>
      <c r="J58" s="28"/>
      <c r="N58" s="34"/>
    </row>
    <row r="59">
      <c r="A59" s="35">
        <v>44868</v>
      </c>
      <c r="B59" s="28"/>
      <c r="C59" s="28"/>
      <c r="D59" s="1" t="s">
        <v>12</v>
      </c>
      <c r="E59" s="31">
        <f>16128*0.7</f>
        <v>11289.599999999999</v>
      </c>
      <c r="F59" s="32">
        <f t="shared" si="0"/>
        <v>693123.89000000001</v>
      </c>
      <c r="G59" s="31"/>
      <c r="H59" s="33">
        <f t="shared" si="1"/>
        <v>0</v>
      </c>
      <c r="I59" s="32">
        <f t="shared" si="2"/>
        <v>748599.14000000001</v>
      </c>
      <c r="J59" s="28"/>
      <c r="N59" s="34"/>
    </row>
    <row r="60">
      <c r="A60" s="35">
        <v>44868</v>
      </c>
      <c r="B60" s="28"/>
      <c r="C60" s="28"/>
      <c r="D60" s="1" t="s">
        <v>12</v>
      </c>
      <c r="E60" s="31">
        <v>20338</v>
      </c>
      <c r="F60" s="32">
        <f t="shared" si="0"/>
        <v>713461.89000000001</v>
      </c>
      <c r="G60" s="31"/>
      <c r="H60" s="33">
        <f t="shared" si="1"/>
        <v>0</v>
      </c>
      <c r="I60" s="32">
        <f t="shared" si="2"/>
        <v>748599.14000000001</v>
      </c>
      <c r="J60" s="28"/>
      <c r="N60" s="34"/>
    </row>
    <row r="61">
      <c r="A61" s="35">
        <v>44869</v>
      </c>
      <c r="B61" s="28"/>
      <c r="C61" s="28"/>
      <c r="D61" s="1" t="s">
        <v>12</v>
      </c>
      <c r="E61" s="31"/>
      <c r="F61" s="32">
        <f t="shared" si="0"/>
        <v>713461.89000000001</v>
      </c>
      <c r="G61" s="31">
        <v>126560.46000000001</v>
      </c>
      <c r="H61" s="33">
        <f t="shared" si="1"/>
        <v>0</v>
      </c>
      <c r="I61" s="32">
        <f t="shared" si="2"/>
        <v>875159.59999999998</v>
      </c>
      <c r="J61" s="28"/>
      <c r="N61" s="34"/>
    </row>
    <row r="62">
      <c r="A62" s="35">
        <v>44871</v>
      </c>
      <c r="B62" s="28"/>
      <c r="C62" s="28"/>
      <c r="D62" s="1" t="s">
        <v>12</v>
      </c>
      <c r="E62" s="31">
        <v>12672.67</v>
      </c>
      <c r="F62" s="32">
        <f t="shared" si="0"/>
        <v>726134.56000000006</v>
      </c>
      <c r="G62" s="31"/>
      <c r="H62" s="33">
        <f t="shared" si="1"/>
        <v>0</v>
      </c>
      <c r="I62" s="32">
        <f t="shared" si="2"/>
        <v>875159.59999999998</v>
      </c>
      <c r="J62" s="28"/>
      <c r="N62" s="34"/>
    </row>
    <row r="63">
      <c r="A63" s="35">
        <v>44876</v>
      </c>
      <c r="B63" s="28"/>
      <c r="C63" s="28"/>
      <c r="D63" s="1" t="s">
        <v>12</v>
      </c>
      <c r="E63" s="31">
        <v>3960</v>
      </c>
      <c r="F63" s="32">
        <f t="shared" si="0"/>
        <v>730094.56000000006</v>
      </c>
      <c r="G63" s="31"/>
      <c r="H63" s="33">
        <f t="shared" si="1"/>
        <v>0</v>
      </c>
      <c r="I63" s="32">
        <f t="shared" si="2"/>
        <v>875159.59999999998</v>
      </c>
      <c r="J63" s="28"/>
      <c r="N63" s="34"/>
    </row>
    <row r="64">
      <c r="A64" s="35">
        <v>44876</v>
      </c>
      <c r="B64" s="28"/>
      <c r="D64" s="1" t="s">
        <v>12</v>
      </c>
      <c r="E64" s="31">
        <v>1600</v>
      </c>
      <c r="F64" s="32">
        <f t="shared" si="0"/>
        <v>731694.56000000006</v>
      </c>
      <c r="G64" s="31"/>
      <c r="H64" s="33">
        <f t="shared" si="1"/>
        <v>0</v>
      </c>
      <c r="I64" s="32">
        <f t="shared" si="2"/>
        <v>875159.59999999998</v>
      </c>
      <c r="J64" s="28"/>
      <c r="N64" s="34"/>
    </row>
    <row r="65">
      <c r="A65" s="35">
        <v>44882</v>
      </c>
      <c r="B65" s="28"/>
      <c r="C65" s="28"/>
      <c r="D65" s="1" t="s">
        <v>12</v>
      </c>
      <c r="E65" s="31">
        <v>4289.1000000000004</v>
      </c>
      <c r="F65" s="32">
        <f t="shared" si="0"/>
        <v>735983.66000000003</v>
      </c>
      <c r="G65" s="31"/>
      <c r="H65" s="33">
        <f t="shared" si="1"/>
        <v>0</v>
      </c>
      <c r="I65" s="32">
        <f t="shared" si="2"/>
        <v>875159.59999999998</v>
      </c>
      <c r="J65" s="28"/>
      <c r="N65" s="34"/>
    </row>
    <row r="66">
      <c r="A66" s="35">
        <v>44885</v>
      </c>
      <c r="B66" s="28"/>
      <c r="C66" s="28"/>
      <c r="D66" s="1" t="s">
        <v>12</v>
      </c>
      <c r="E66" s="31">
        <v>5300</v>
      </c>
      <c r="F66" s="32">
        <f t="shared" si="0"/>
        <v>741283.66000000003</v>
      </c>
      <c r="G66" s="31"/>
      <c r="H66" s="33">
        <f t="shared" si="1"/>
        <v>0</v>
      </c>
      <c r="I66" s="32">
        <f t="shared" si="2"/>
        <v>875159.59999999998</v>
      </c>
      <c r="J66" s="28"/>
      <c r="N66" s="34"/>
    </row>
    <row r="67">
      <c r="A67" s="35">
        <v>44885</v>
      </c>
      <c r="B67" s="28"/>
      <c r="C67" s="28"/>
      <c r="D67" s="1" t="s">
        <v>12</v>
      </c>
      <c r="E67" s="31">
        <v>2660</v>
      </c>
      <c r="F67" s="32">
        <f t="shared" si="0"/>
        <v>743943.66000000003</v>
      </c>
      <c r="G67" s="31"/>
      <c r="H67" s="33">
        <f t="shared" si="1"/>
        <v>0</v>
      </c>
      <c r="I67" s="32">
        <f t="shared" si="2"/>
        <v>875159.59999999998</v>
      </c>
      <c r="J67" s="28"/>
      <c r="N67" s="34"/>
    </row>
    <row r="68">
      <c r="A68" s="35">
        <v>44885</v>
      </c>
      <c r="B68" s="28"/>
      <c r="C68" s="28"/>
      <c r="D68" s="1" t="s">
        <v>12</v>
      </c>
      <c r="E68" s="31">
        <v>5580</v>
      </c>
      <c r="F68" s="32">
        <f t="shared" si="0"/>
        <v>749523.66000000003</v>
      </c>
      <c r="G68" s="31"/>
      <c r="H68" s="33">
        <f t="shared" si="1"/>
        <v>0</v>
      </c>
      <c r="I68" s="32">
        <f t="shared" si="2"/>
        <v>875159.59999999998</v>
      </c>
      <c r="J68" s="28"/>
      <c r="N68" s="34"/>
    </row>
    <row r="69">
      <c r="A69" s="35">
        <v>44885</v>
      </c>
      <c r="B69" s="28"/>
      <c r="C69" s="28"/>
      <c r="D69" s="1" t="s">
        <v>12</v>
      </c>
      <c r="E69" s="31">
        <f>9634.67-E20</f>
        <v>4817.3299999999999</v>
      </c>
      <c r="F69" s="32">
        <f t="shared" si="0"/>
        <v>754340.98999999999</v>
      </c>
      <c r="G69" s="31"/>
      <c r="H69" s="33">
        <f t="shared" si="1"/>
        <v>0</v>
      </c>
      <c r="I69" s="32">
        <f t="shared" si="2"/>
        <v>875159.59999999998</v>
      </c>
      <c r="J69" s="28"/>
      <c r="N69" s="34"/>
    </row>
    <row r="70">
      <c r="A70" s="35">
        <v>44885</v>
      </c>
      <c r="B70" s="28"/>
      <c r="C70" s="28"/>
      <c r="D70" s="1" t="s">
        <v>12</v>
      </c>
      <c r="E70" s="31">
        <v>24960</v>
      </c>
      <c r="F70" s="32">
        <f t="shared" si="0"/>
        <v>779300.98999999999</v>
      </c>
      <c r="G70" s="31"/>
      <c r="H70" s="33">
        <f t="shared" si="1"/>
        <v>0</v>
      </c>
      <c r="I70" s="32">
        <f t="shared" si="2"/>
        <v>875159.59999999998</v>
      </c>
      <c r="J70" s="28"/>
      <c r="N70" s="34"/>
    </row>
    <row r="71">
      <c r="A71" s="35">
        <v>44887</v>
      </c>
      <c r="B71" s="28"/>
      <c r="D71" s="1" t="s">
        <v>12</v>
      </c>
      <c r="E71" s="31">
        <v>6834.1999999999998</v>
      </c>
      <c r="F71" s="32">
        <f t="shared" si="0"/>
        <v>786135.18999999994</v>
      </c>
      <c r="G71" s="31"/>
      <c r="H71" s="33">
        <f t="shared" si="1"/>
        <v>0</v>
      </c>
      <c r="I71" s="32">
        <f t="shared" si="2"/>
        <v>875159.59999999998</v>
      </c>
      <c r="J71" s="28"/>
      <c r="N71" s="34"/>
    </row>
    <row r="72">
      <c r="A72" s="35">
        <v>44887</v>
      </c>
      <c r="B72" s="28"/>
      <c r="C72" s="28"/>
      <c r="D72" s="1" t="s">
        <v>12</v>
      </c>
      <c r="E72" s="31">
        <v>4591.5600000000004</v>
      </c>
      <c r="F72" s="32">
        <f t="shared" si="0"/>
        <v>790726.75</v>
      </c>
      <c r="G72" s="31"/>
      <c r="H72" s="33">
        <f t="shared" si="1"/>
        <v>0</v>
      </c>
      <c r="I72" s="32">
        <f t="shared" si="2"/>
        <v>875159.59999999998</v>
      </c>
      <c r="J72" s="28"/>
      <c r="N72" s="34"/>
    </row>
    <row r="73">
      <c r="A73" s="35">
        <v>44887</v>
      </c>
      <c r="B73" s="28"/>
      <c r="C73" s="28"/>
      <c r="D73" s="1" t="s">
        <v>12</v>
      </c>
      <c r="E73" s="31">
        <v>68670</v>
      </c>
      <c r="F73" s="32">
        <f t="shared" si="0"/>
        <v>859396.75</v>
      </c>
      <c r="G73" s="31"/>
      <c r="H73" s="33">
        <f t="shared" si="1"/>
        <v>0</v>
      </c>
      <c r="I73" s="32">
        <f t="shared" si="2"/>
        <v>875159.59999999998</v>
      </c>
      <c r="J73" s="28"/>
      <c r="N73" s="34"/>
    </row>
    <row r="74">
      <c r="A74" s="35">
        <v>44889</v>
      </c>
      <c r="B74" s="28"/>
      <c r="D74" s="1" t="s">
        <v>12</v>
      </c>
      <c r="E74" s="31">
        <v>1875</v>
      </c>
      <c r="F74" s="32">
        <f t="shared" si="0"/>
        <v>861271.75</v>
      </c>
      <c r="G74" s="31"/>
      <c r="H74" s="33">
        <f t="shared" si="1"/>
        <v>0</v>
      </c>
      <c r="I74" s="32">
        <f t="shared" si="2"/>
        <v>875159.59999999998</v>
      </c>
      <c r="J74" s="28"/>
      <c r="N74" s="34"/>
    </row>
    <row r="75">
      <c r="A75" s="35">
        <v>44889</v>
      </c>
      <c r="B75" s="28"/>
      <c r="C75" s="28"/>
      <c r="D75" s="1" t="s">
        <v>12</v>
      </c>
      <c r="E75" s="31">
        <v>1544</v>
      </c>
      <c r="F75" s="32">
        <f t="shared" ref="F75:F99" si="3">SUM($E$11:E75)</f>
        <v>862815.75</v>
      </c>
      <c r="G75" s="31"/>
      <c r="H75" s="33">
        <f t="shared" ref="H75:H99" si="4">IF(F75/$H$7&lt;50000,$N$1,IF(F75/$H$7&lt;100000,$N$2,IF(F75/$H$7&lt;150000,$N$3,IF(F75/$H$7&lt;200000,$N$4,IF(F75/$H$7&lt;250000,$N$5,$N$6)))))</f>
        <v>0</v>
      </c>
      <c r="I75" s="32">
        <f t="shared" si="2"/>
        <v>875159.59999999998</v>
      </c>
      <c r="J75" s="28"/>
      <c r="N75" s="34"/>
    </row>
    <row r="76">
      <c r="A76" s="35">
        <v>44893</v>
      </c>
      <c r="B76" s="28"/>
      <c r="C76" s="28"/>
      <c r="D76" s="1" t="s">
        <v>12</v>
      </c>
      <c r="E76" s="31">
        <v>812</v>
      </c>
      <c r="F76" s="32">
        <f t="shared" si="3"/>
        <v>863627.75</v>
      </c>
      <c r="G76" s="31"/>
      <c r="H76" s="33">
        <f t="shared" si="4"/>
        <v>0</v>
      </c>
      <c r="I76" s="32">
        <f t="shared" ref="I76:I99" si="5">G76+I75-E76*IF(D76="P",1.03,1)*H76</f>
        <v>875159.59999999998</v>
      </c>
      <c r="J76" s="28"/>
      <c r="N76" s="34"/>
    </row>
    <row r="77">
      <c r="A77" s="35">
        <v>44893</v>
      </c>
      <c r="B77" s="28"/>
      <c r="D77" s="1" t="s">
        <v>12</v>
      </c>
      <c r="E77" s="31">
        <v>1365</v>
      </c>
      <c r="F77" s="32">
        <f t="shared" si="3"/>
        <v>864992.75</v>
      </c>
      <c r="G77" s="31"/>
      <c r="H77" s="33">
        <f t="shared" si="4"/>
        <v>0</v>
      </c>
      <c r="I77" s="32">
        <f t="shared" si="5"/>
        <v>875159.59999999998</v>
      </c>
      <c r="N77" s="34"/>
    </row>
    <row r="78">
      <c r="A78" s="35">
        <v>44893</v>
      </c>
      <c r="B78" s="28"/>
      <c r="D78" s="1" t="s">
        <v>12</v>
      </c>
      <c r="E78" s="31">
        <v>3914</v>
      </c>
      <c r="F78" s="32">
        <f t="shared" si="3"/>
        <v>868906.75</v>
      </c>
      <c r="G78" s="31"/>
      <c r="H78" s="33">
        <f t="shared" si="4"/>
        <v>0</v>
      </c>
      <c r="I78" s="32">
        <f t="shared" si="5"/>
        <v>875159.59999999998</v>
      </c>
      <c r="J78" s="28"/>
      <c r="N78" s="34"/>
    </row>
    <row r="79">
      <c r="A79" s="35">
        <v>44893</v>
      </c>
      <c r="B79" s="28"/>
      <c r="C79" s="28"/>
      <c r="D79" s="1" t="s">
        <v>12</v>
      </c>
      <c r="E79" s="31">
        <v>2213.4000000000001</v>
      </c>
      <c r="F79" s="32">
        <f t="shared" si="3"/>
        <v>871120.15000000002</v>
      </c>
      <c r="G79" s="31"/>
      <c r="H79" s="33">
        <f t="shared" si="4"/>
        <v>0</v>
      </c>
      <c r="I79" s="32">
        <f t="shared" si="5"/>
        <v>875159.59999999998</v>
      </c>
      <c r="J79" s="28"/>
      <c r="N79" s="34"/>
    </row>
    <row r="80">
      <c r="A80" s="35">
        <v>44895</v>
      </c>
      <c r="B80" s="28"/>
      <c r="C80" s="28"/>
      <c r="E80" s="31"/>
      <c r="F80" s="32">
        <f t="shared" si="3"/>
        <v>871120.15000000002</v>
      </c>
      <c r="G80" s="31">
        <v>249981.66</v>
      </c>
      <c r="H80" s="33">
        <f t="shared" si="4"/>
        <v>0</v>
      </c>
      <c r="I80" s="32">
        <f t="shared" si="5"/>
        <v>1125141.26</v>
      </c>
      <c r="J80" s="28"/>
      <c r="N80" s="34"/>
    </row>
    <row r="81">
      <c r="A81" s="35">
        <v>44895</v>
      </c>
      <c r="B81" s="28"/>
      <c r="C81" s="28"/>
      <c r="D81" s="1" t="s">
        <v>12</v>
      </c>
      <c r="E81" s="31">
        <v>160230</v>
      </c>
      <c r="F81" s="32">
        <f t="shared" si="3"/>
        <v>1031350.15</v>
      </c>
      <c r="G81" s="31"/>
      <c r="H81" s="33">
        <f t="shared" si="4"/>
        <v>0</v>
      </c>
      <c r="I81" s="32">
        <f t="shared" si="5"/>
        <v>1125141.26</v>
      </c>
      <c r="J81" s="28"/>
      <c r="N81" s="34"/>
    </row>
    <row r="82">
      <c r="A82" s="35">
        <v>44895</v>
      </c>
      <c r="B82" s="28"/>
      <c r="C82" s="28"/>
      <c r="E82" s="31"/>
      <c r="F82" s="32">
        <f t="shared" si="3"/>
        <v>1031350.15</v>
      </c>
      <c r="G82" s="31">
        <v>199981.64000000001</v>
      </c>
      <c r="H82" s="33">
        <f t="shared" si="4"/>
        <v>0</v>
      </c>
      <c r="I82" s="32">
        <f t="shared" si="5"/>
        <v>1325122.8999999999</v>
      </c>
      <c r="J82" s="28"/>
      <c r="N82" s="34"/>
    </row>
    <row r="83">
      <c r="A83" s="35">
        <v>44903</v>
      </c>
      <c r="B83" s="28"/>
      <c r="C83" s="28"/>
      <c r="D83" s="1" t="s">
        <v>12</v>
      </c>
      <c r="E83" s="31">
        <f>13650/7.8</f>
        <v>1750</v>
      </c>
      <c r="F83" s="32">
        <f t="shared" si="3"/>
        <v>1033100.15</v>
      </c>
      <c r="G83" s="31"/>
      <c r="H83" s="33">
        <f t="shared" si="4"/>
        <v>0</v>
      </c>
      <c r="I83" s="32">
        <f t="shared" si="5"/>
        <v>1325122.8999999999</v>
      </c>
      <c r="J83" s="28"/>
      <c r="N83" s="34"/>
    </row>
    <row r="84">
      <c r="A84" s="35">
        <v>44904</v>
      </c>
      <c r="B84" s="28"/>
      <c r="D84" s="1" t="s">
        <v>12</v>
      </c>
      <c r="E84" s="31">
        <v>7500</v>
      </c>
      <c r="F84" s="32">
        <f t="shared" si="3"/>
        <v>1040600.15</v>
      </c>
      <c r="G84" s="31"/>
      <c r="H84" s="33">
        <f t="shared" si="4"/>
        <v>0</v>
      </c>
      <c r="I84" s="32">
        <f t="shared" si="5"/>
        <v>1325122.8999999999</v>
      </c>
      <c r="J84" s="28"/>
      <c r="N84" s="34"/>
    </row>
    <row r="85">
      <c r="A85" s="35">
        <v>44904</v>
      </c>
      <c r="B85" s="28"/>
      <c r="D85" s="1" t="s">
        <v>12</v>
      </c>
      <c r="E85" s="31">
        <f>256+1152</f>
        <v>1408</v>
      </c>
      <c r="F85" s="32">
        <f t="shared" si="3"/>
        <v>1042008.15</v>
      </c>
      <c r="G85" s="31"/>
      <c r="H85" s="33">
        <f t="shared" si="4"/>
        <v>0</v>
      </c>
      <c r="I85" s="32">
        <f t="shared" si="5"/>
        <v>1325122.8999999999</v>
      </c>
      <c r="J85" s="28"/>
      <c r="N85" s="34"/>
    </row>
    <row r="86">
      <c r="A86" s="35">
        <v>44904</v>
      </c>
      <c r="B86" s="28"/>
      <c r="D86" s="1" t="s">
        <v>12</v>
      </c>
      <c r="E86" s="31">
        <f>340+69+656</f>
        <v>1065</v>
      </c>
      <c r="F86" s="32">
        <f t="shared" si="3"/>
        <v>1043073.15</v>
      </c>
      <c r="G86" s="31"/>
      <c r="H86" s="33">
        <f t="shared" si="4"/>
        <v>0</v>
      </c>
      <c r="I86" s="32">
        <f t="shared" si="5"/>
        <v>1325122.8999999999</v>
      </c>
      <c r="J86" s="28"/>
      <c r="N86" s="34"/>
    </row>
    <row r="87">
      <c r="A87" s="35">
        <v>44907</v>
      </c>
      <c r="B87" s="28"/>
      <c r="C87" s="28"/>
      <c r="D87" s="1" t="s">
        <v>12</v>
      </c>
      <c r="E87" s="31">
        <v>1776</v>
      </c>
      <c r="F87" s="32">
        <f t="shared" si="3"/>
        <v>1044849.15</v>
      </c>
      <c r="G87" s="31"/>
      <c r="H87" s="33">
        <f t="shared" si="4"/>
        <v>0</v>
      </c>
      <c r="I87" s="32">
        <f t="shared" si="5"/>
        <v>1325122.8999999999</v>
      </c>
      <c r="J87" s="28"/>
      <c r="N87" s="34"/>
    </row>
    <row r="88">
      <c r="A88" s="35">
        <v>44907</v>
      </c>
      <c r="B88" s="28"/>
      <c r="C88" s="28"/>
      <c r="D88" s="1" t="s">
        <v>12</v>
      </c>
      <c r="E88" s="31">
        <v>5625</v>
      </c>
      <c r="F88" s="32">
        <f t="shared" si="3"/>
        <v>1050474.1499999999</v>
      </c>
      <c r="G88" s="31"/>
      <c r="H88" s="33">
        <f t="shared" si="4"/>
        <v>0</v>
      </c>
      <c r="I88" s="32">
        <f t="shared" si="5"/>
        <v>1325122.8999999999</v>
      </c>
      <c r="J88" s="28"/>
      <c r="N88" s="34"/>
    </row>
    <row r="89">
      <c r="A89" s="35">
        <v>44907</v>
      </c>
      <c r="B89" s="28"/>
      <c r="C89" s="28"/>
      <c r="D89" s="1" t="s">
        <v>12</v>
      </c>
      <c r="E89" s="31">
        <v>1638</v>
      </c>
      <c r="F89" s="32">
        <f t="shared" si="3"/>
        <v>1052112.1499999999</v>
      </c>
      <c r="G89" s="31"/>
      <c r="H89" s="33">
        <f t="shared" si="4"/>
        <v>0</v>
      </c>
      <c r="I89" s="32">
        <f t="shared" si="5"/>
        <v>1325122.8999999999</v>
      </c>
      <c r="J89" s="28"/>
      <c r="N89" s="34"/>
    </row>
    <row r="90">
      <c r="A90" s="35">
        <v>44917</v>
      </c>
      <c r="B90" s="28"/>
      <c r="D90" s="1" t="s">
        <v>12</v>
      </c>
      <c r="E90" s="31">
        <v>6200</v>
      </c>
      <c r="F90" s="32">
        <f t="shared" si="3"/>
        <v>1058312.1499999999</v>
      </c>
      <c r="G90" s="31"/>
      <c r="H90" s="33">
        <f t="shared" si="4"/>
        <v>0</v>
      </c>
      <c r="I90" s="32">
        <f t="shared" si="5"/>
        <v>1325122.8999999999</v>
      </c>
      <c r="J90" s="28"/>
      <c r="N90" s="34"/>
    </row>
    <row r="91">
      <c r="A91" s="35">
        <v>44917</v>
      </c>
      <c r="B91" s="28"/>
      <c r="C91" s="28"/>
      <c r="D91" s="1" t="s">
        <v>12</v>
      </c>
      <c r="E91" s="31">
        <v>1619.8</v>
      </c>
      <c r="F91" s="32">
        <f t="shared" si="3"/>
        <v>1059931.95</v>
      </c>
      <c r="G91" s="31"/>
      <c r="H91" s="33">
        <f t="shared" si="4"/>
        <v>0</v>
      </c>
      <c r="I91" s="32">
        <f t="shared" si="5"/>
        <v>1325122.8999999999</v>
      </c>
      <c r="J91" s="28"/>
      <c r="N91" s="34"/>
    </row>
    <row r="92">
      <c r="A92" s="35">
        <v>44917</v>
      </c>
      <c r="B92" s="28"/>
      <c r="C92" s="28"/>
      <c r="D92" s="1" t="s">
        <v>12</v>
      </c>
      <c r="E92" s="31">
        <v>3687.48</v>
      </c>
      <c r="F92" s="32">
        <f t="shared" si="3"/>
        <v>1063619.4299999999</v>
      </c>
      <c r="G92" s="31"/>
      <c r="H92" s="33">
        <f t="shared" si="4"/>
        <v>0</v>
      </c>
      <c r="I92" s="32">
        <f t="shared" si="5"/>
        <v>1325122.8999999999</v>
      </c>
      <c r="J92" s="28"/>
      <c r="N92" s="34"/>
    </row>
    <row r="93">
      <c r="A93" s="35">
        <v>44917</v>
      </c>
      <c r="B93" s="28"/>
      <c r="D93" s="1" t="s">
        <v>12</v>
      </c>
      <c r="E93" s="31">
        <v>42421.050000000003</v>
      </c>
      <c r="F93" s="32">
        <f t="shared" si="3"/>
        <v>1106040.48</v>
      </c>
      <c r="G93" s="31"/>
      <c r="H93" s="33">
        <f t="shared" si="4"/>
        <v>0</v>
      </c>
      <c r="I93" s="32">
        <f t="shared" si="5"/>
        <v>1325122.8999999999</v>
      </c>
      <c r="J93" s="28"/>
      <c r="N93" s="34"/>
    </row>
    <row r="94">
      <c r="A94" s="35">
        <v>44918</v>
      </c>
      <c r="B94" s="28"/>
      <c r="C94" s="28"/>
      <c r="D94" s="1" t="s">
        <v>12</v>
      </c>
      <c r="E94" s="31">
        <v>5740</v>
      </c>
      <c r="F94" s="32">
        <f t="shared" si="3"/>
        <v>1111780.48</v>
      </c>
      <c r="G94" s="31"/>
      <c r="H94" s="33">
        <f t="shared" si="4"/>
        <v>0</v>
      </c>
      <c r="I94" s="32">
        <f t="shared" si="5"/>
        <v>1325122.8999999999</v>
      </c>
      <c r="J94" s="28"/>
      <c r="N94" s="34"/>
    </row>
    <row r="95">
      <c r="A95" s="35">
        <v>44922</v>
      </c>
      <c r="B95" s="28"/>
      <c r="C95" s="28"/>
      <c r="D95" s="1" t="s">
        <v>12</v>
      </c>
      <c r="E95" s="31">
        <v>120</v>
      </c>
      <c r="F95" s="32">
        <f t="shared" si="3"/>
        <v>1111900.48</v>
      </c>
      <c r="G95" s="31"/>
      <c r="H95" s="33">
        <f t="shared" si="4"/>
        <v>0</v>
      </c>
      <c r="I95" s="32">
        <f t="shared" si="5"/>
        <v>1325122.8999999999</v>
      </c>
      <c r="N95" s="34"/>
    </row>
    <row r="96">
      <c r="A96" s="35">
        <v>44923</v>
      </c>
      <c r="C96" s="28"/>
      <c r="D96" s="1" t="s">
        <v>12</v>
      </c>
      <c r="E96" s="31">
        <v>18853.830000000002</v>
      </c>
      <c r="F96" s="32">
        <f t="shared" si="3"/>
        <v>1130754.3100000001</v>
      </c>
      <c r="G96" s="31"/>
      <c r="H96" s="33">
        <f t="shared" si="4"/>
        <v>0</v>
      </c>
      <c r="I96" s="32">
        <f t="shared" si="5"/>
        <v>1325122.8999999999</v>
      </c>
      <c r="N96" s="34"/>
    </row>
    <row r="97">
      <c r="A97" s="35">
        <v>44923</v>
      </c>
      <c r="B97" s="28"/>
      <c r="E97" s="31"/>
      <c r="F97" s="32">
        <f t="shared" si="3"/>
        <v>1130754.3100000001</v>
      </c>
      <c r="G97" s="31">
        <v>249981.64000000001</v>
      </c>
      <c r="H97" s="33">
        <f t="shared" si="4"/>
        <v>0</v>
      </c>
      <c r="I97" s="32">
        <f t="shared" si="5"/>
        <v>1575104.54</v>
      </c>
      <c r="N97" s="34"/>
    </row>
    <row r="98">
      <c r="A98" s="35">
        <v>44924</v>
      </c>
      <c r="D98" s="1" t="s">
        <v>12</v>
      </c>
      <c r="E98" s="31">
        <v>3960</v>
      </c>
      <c r="F98" s="32">
        <f t="shared" si="3"/>
        <v>1134714.3100000001</v>
      </c>
      <c r="G98" s="31"/>
      <c r="H98" s="33">
        <f t="shared" si="4"/>
        <v>0</v>
      </c>
      <c r="I98" s="32">
        <f t="shared" si="5"/>
        <v>1575104.54</v>
      </c>
      <c r="N98" s="34"/>
    </row>
    <row r="99">
      <c r="A99" s="35">
        <v>44957</v>
      </c>
      <c r="B99" s="28"/>
      <c r="E99" s="31"/>
      <c r="F99" s="32">
        <f t="shared" si="3"/>
        <v>1134714.3100000001</v>
      </c>
      <c r="G99" s="31">
        <v>199981.66</v>
      </c>
      <c r="H99" s="33">
        <f t="shared" si="4"/>
        <v>0</v>
      </c>
      <c r="I99" s="32">
        <f t="shared" si="5"/>
        <v>1775086.2</v>
      </c>
      <c r="N99" s="34"/>
    </row>
    <row r="100">
      <c r="A100" s="35">
        <v>44930</v>
      </c>
      <c r="B100" s="28"/>
      <c r="E100" s="31"/>
      <c r="F100" s="32">
        <f t="shared" ref="F100:F163" si="6">SUM($E$11:E100)</f>
        <v>1134714.3100000001</v>
      </c>
      <c r="G100" s="31">
        <v>199981.66</v>
      </c>
      <c r="H100" s="33">
        <f t="shared" ref="H100:H163" si="7">IF(F100/$H$7&lt;50000,$N$1,IF(F100/$H$7&lt;100000,$N$2,IF(F100/$H$7&lt;150000,$N$3,IF(F100/$H$7&lt;200000,$N$4,IF(F100/$H$7&lt;250000,$N$5,$N$6)))))</f>
        <v>0</v>
      </c>
      <c r="I100" s="32">
        <f>G100+I99-E100*IF(D100="P",1.03,1)*H100</f>
        <v>1975067.8599999999</v>
      </c>
      <c r="N100" s="34"/>
    </row>
    <row r="101">
      <c r="A101" s="35">
        <v>44930</v>
      </c>
      <c r="D101" s="1" t="s">
        <v>12</v>
      </c>
      <c r="E101" s="31">
        <f>1.38*40000</f>
        <v>55199.999999999993</v>
      </c>
      <c r="F101" s="32">
        <f t="shared" si="6"/>
        <v>1189914.3100000001</v>
      </c>
      <c r="G101" s="31"/>
      <c r="H101" s="33">
        <f t="shared" si="7"/>
        <v>1.2</v>
      </c>
      <c r="I101" s="32">
        <f t="shared" ref="I101:I164" si="8">G101+I100-E101*IF(D101="P",1.03,1)*H101</f>
        <v>504333.77284000011</v>
      </c>
      <c r="N101" s="34"/>
    </row>
    <row r="102">
      <c r="A102" s="35">
        <v>44930</v>
      </c>
      <c r="C102" s="28"/>
      <c r="D102" s="1" t="s">
        <v>12</v>
      </c>
      <c r="E102" s="31">
        <v>4540</v>
      </c>
      <c r="F102" s="32">
        <f t="shared" si="6"/>
        <v>1194454.3100000001</v>
      </c>
      <c r="G102" s="31"/>
      <c r="H102" s="33">
        <f t="shared" si="7"/>
        <v>1.2</v>
      </c>
      <c r="I102" s="32">
        <f t="shared" si="8"/>
        <v>498722.3328400001</v>
      </c>
      <c r="N102" s="34"/>
    </row>
    <row r="103">
      <c r="A103" s="35">
        <v>44930</v>
      </c>
      <c r="D103" s="1" t="s">
        <v>12</v>
      </c>
      <c r="E103" s="31">
        <v>22393.5</v>
      </c>
      <c r="F103" s="32">
        <f t="shared" si="6"/>
        <v>1216847.8100000001</v>
      </c>
      <c r="G103" s="31"/>
      <c r="H103" s="33">
        <f t="shared" si="7"/>
        <v>1.2</v>
      </c>
      <c r="I103" s="32">
        <f t="shared" si="8"/>
        <v>471043.96684000012</v>
      </c>
      <c r="N103" s="34"/>
    </row>
    <row r="104">
      <c r="A104" s="36">
        <v>44930</v>
      </c>
      <c r="D104" s="1" t="s">
        <v>12</v>
      </c>
      <c r="E104" s="32">
        <f>301+240+324+63+1225+315+1560+774+128+40+262.4+114+57+44+378+88+88+88+328</f>
        <v>6417.3999999999996</v>
      </c>
      <c r="F104" s="32">
        <f t="shared" si="6"/>
        <v>1223265.21</v>
      </c>
      <c r="G104" s="32"/>
      <c r="H104" s="33">
        <f t="shared" si="7"/>
        <v>1.2</v>
      </c>
      <c r="I104" s="32">
        <f t="shared" si="8"/>
        <v>463112.06044000015</v>
      </c>
      <c r="N104" s="34"/>
    </row>
    <row r="105">
      <c r="A105" s="36">
        <v>44930</v>
      </c>
      <c r="D105" s="1" t="s">
        <v>12</v>
      </c>
      <c r="E105" s="32">
        <f>598+1824+252+1230+3045+4732+1032+256+190+152+76+76+38+133+76+76</f>
        <v>13786</v>
      </c>
      <c r="F105" s="32">
        <f t="shared" si="6"/>
        <v>1237051.21</v>
      </c>
      <c r="G105" s="32"/>
      <c r="H105" s="33">
        <f t="shared" si="7"/>
        <v>1.2</v>
      </c>
      <c r="I105" s="32">
        <f t="shared" si="8"/>
        <v>446072.56444000016</v>
      </c>
      <c r="N105" s="34"/>
    </row>
    <row r="106">
      <c r="A106" s="36">
        <v>44930</v>
      </c>
      <c r="D106" s="1" t="s">
        <v>12</v>
      </c>
      <c r="E106" s="32">
        <f>25*19</f>
        <v>475</v>
      </c>
      <c r="F106" s="32">
        <f t="shared" si="6"/>
        <v>1237526.21</v>
      </c>
      <c r="G106" s="32"/>
      <c r="H106" s="33">
        <f t="shared" si="7"/>
        <v>1.2</v>
      </c>
      <c r="I106" s="32">
        <f t="shared" si="8"/>
        <v>445485.46444000019</v>
      </c>
      <c r="N106" s="34"/>
    </row>
    <row r="107">
      <c r="A107" s="36">
        <v>44931</v>
      </c>
      <c r="E107" s="32"/>
      <c r="F107" s="32">
        <f t="shared" si="6"/>
        <v>1237526.21</v>
      </c>
      <c r="G107" s="32">
        <v>75706.669999999998</v>
      </c>
      <c r="H107" s="33">
        <f t="shared" si="7"/>
        <v>1.2</v>
      </c>
      <c r="I107" s="32">
        <f t="shared" si="8"/>
        <v>521192.13444000017</v>
      </c>
      <c r="N107" s="34"/>
    </row>
    <row r="108">
      <c r="A108" s="36">
        <v>44935</v>
      </c>
      <c r="D108" s="1" t="s">
        <v>12</v>
      </c>
      <c r="E108" s="32">
        <v>586</v>
      </c>
      <c r="F108" s="32">
        <f t="shared" si="6"/>
        <v>1238112.21</v>
      </c>
      <c r="G108" s="32"/>
      <c r="H108" s="33">
        <f t="shared" si="7"/>
        <v>1.2</v>
      </c>
      <c r="I108" s="32">
        <f t="shared" si="8"/>
        <v>520467.8384400002</v>
      </c>
      <c r="N108" s="34"/>
    </row>
    <row r="109">
      <c r="A109" s="36">
        <v>44935</v>
      </c>
      <c r="D109" s="1" t="s">
        <v>12</v>
      </c>
      <c r="E109" s="32">
        <v>13860</v>
      </c>
      <c r="F109" s="32">
        <f t="shared" si="6"/>
        <v>1251972.21</v>
      </c>
      <c r="G109" s="32"/>
      <c r="H109" s="33">
        <f t="shared" si="7"/>
        <v>1.2</v>
      </c>
      <c r="I109" s="32">
        <f t="shared" si="8"/>
        <v>503336.87844000018</v>
      </c>
      <c r="N109" s="34"/>
    </row>
    <row r="110">
      <c r="A110" s="36">
        <v>44937</v>
      </c>
      <c r="D110" s="1" t="s">
        <v>12</v>
      </c>
      <c r="E110" s="32">
        <v>1695</v>
      </c>
      <c r="F110" s="32">
        <f t="shared" si="6"/>
        <v>1253667.21</v>
      </c>
      <c r="G110" s="32"/>
      <c r="H110" s="33">
        <f t="shared" si="7"/>
        <v>1.2</v>
      </c>
      <c r="I110" s="32">
        <f t="shared" si="8"/>
        <v>501241.85844000016</v>
      </c>
      <c r="N110" s="34"/>
    </row>
    <row r="111">
      <c r="A111" s="36">
        <v>44937</v>
      </c>
      <c r="D111" s="1" t="s">
        <v>12</v>
      </c>
      <c r="E111" s="32">
        <v>4564</v>
      </c>
      <c r="F111" s="32">
        <f t="shared" si="6"/>
        <v>1258231.21</v>
      </c>
      <c r="G111" s="32"/>
      <c r="H111" s="33">
        <f t="shared" si="7"/>
        <v>1.2</v>
      </c>
      <c r="I111" s="32">
        <f t="shared" si="8"/>
        <v>495600.75444000016</v>
      </c>
      <c r="N111" s="34"/>
    </row>
    <row r="112">
      <c r="A112" s="36">
        <v>44941</v>
      </c>
      <c r="D112" s="1" t="s">
        <v>12</v>
      </c>
      <c r="E112" s="31">
        <f>3822+229.32</f>
        <v>4051.3200000000002</v>
      </c>
      <c r="F112" s="32">
        <f t="shared" si="6"/>
        <v>1262282.53</v>
      </c>
      <c r="G112" s="31"/>
      <c r="H112" s="33">
        <f t="shared" si="7"/>
        <v>1.2</v>
      </c>
      <c r="I112" s="32">
        <f t="shared" si="8"/>
        <v>490593.32292000018</v>
      </c>
      <c r="N112" s="34"/>
    </row>
    <row r="113">
      <c r="A113" s="36">
        <v>44942</v>
      </c>
      <c r="D113" s="1" t="s">
        <v>12</v>
      </c>
      <c r="E113" s="32">
        <v>68812.800000000003</v>
      </c>
      <c r="F113" s="32">
        <f t="shared" si="6"/>
        <v>1331095.3300000001</v>
      </c>
      <c r="G113" s="32"/>
      <c r="H113" s="33">
        <f t="shared" si="7"/>
        <v>1.2</v>
      </c>
      <c r="I113" s="32">
        <f t="shared" si="8"/>
        <v>405540.70212000015</v>
      </c>
      <c r="N113" s="34"/>
    </row>
    <row r="114">
      <c r="A114" s="36">
        <v>44952</v>
      </c>
      <c r="C114" s="37"/>
      <c r="D114" s="1"/>
      <c r="E114" s="32"/>
      <c r="F114" s="32">
        <f t="shared" si="6"/>
        <v>1331095.3300000001</v>
      </c>
      <c r="G114" s="32">
        <v>249981.67999999999</v>
      </c>
      <c r="H114" s="33">
        <f t="shared" si="7"/>
        <v>1.2</v>
      </c>
      <c r="I114" s="32">
        <f t="shared" si="8"/>
        <v>655522.3821200002</v>
      </c>
      <c r="N114" s="34"/>
    </row>
    <row r="115">
      <c r="A115" s="36">
        <v>44952</v>
      </c>
      <c r="C115" s="37"/>
      <c r="D115" s="1"/>
      <c r="E115" s="32"/>
      <c r="F115" s="32">
        <f t="shared" si="6"/>
        <v>1331095.3300000001</v>
      </c>
      <c r="G115" s="32">
        <v>249981.67999999999</v>
      </c>
      <c r="H115" s="33">
        <f t="shared" si="7"/>
        <v>1.2</v>
      </c>
      <c r="I115" s="32">
        <f t="shared" si="8"/>
        <v>905504.06212000013</v>
      </c>
      <c r="N115" s="34"/>
    </row>
    <row r="116">
      <c r="A116" s="36">
        <v>44958</v>
      </c>
      <c r="D116" s="1" t="s">
        <v>12</v>
      </c>
      <c r="E116" s="32">
        <v>258</v>
      </c>
      <c r="F116" s="32">
        <f t="shared" si="6"/>
        <v>1331353.3300000001</v>
      </c>
      <c r="G116" s="32"/>
      <c r="H116" s="33">
        <f t="shared" si="7"/>
        <v>1.2</v>
      </c>
      <c r="I116" s="32">
        <f t="shared" si="8"/>
        <v>905185.1741200001</v>
      </c>
      <c r="N116" s="34"/>
    </row>
    <row r="117">
      <c r="A117" s="36">
        <v>44958</v>
      </c>
      <c r="D117" s="1" t="s">
        <v>12</v>
      </c>
      <c r="E117" s="32">
        <f>120+464+69</f>
        <v>653</v>
      </c>
      <c r="F117" s="32">
        <f t="shared" si="6"/>
        <v>1332006.3300000001</v>
      </c>
      <c r="G117" s="32"/>
      <c r="H117" s="33">
        <f t="shared" si="7"/>
        <v>1.2</v>
      </c>
      <c r="I117" s="32">
        <f t="shared" si="8"/>
        <v>904378.06612000009</v>
      </c>
      <c r="N117" s="34"/>
    </row>
    <row r="118">
      <c r="A118" s="36">
        <v>44958</v>
      </c>
      <c r="D118" s="1" t="s">
        <v>12</v>
      </c>
      <c r="E118" s="32">
        <v>75000</v>
      </c>
      <c r="F118" s="32">
        <f t="shared" si="6"/>
        <v>1407006.3300000001</v>
      </c>
      <c r="G118" s="32"/>
      <c r="H118" s="33">
        <f t="shared" si="7"/>
        <v>1.2</v>
      </c>
      <c r="I118" s="32">
        <f t="shared" si="8"/>
        <v>811678.06612000009</v>
      </c>
      <c r="N118" s="34"/>
    </row>
    <row r="119">
      <c r="A119" s="36">
        <v>44964</v>
      </c>
      <c r="D119" s="1" t="s">
        <v>12</v>
      </c>
      <c r="E119" s="32">
        <v>58000</v>
      </c>
      <c r="F119" s="32">
        <f t="shared" si="6"/>
        <v>1465006.3300000001</v>
      </c>
      <c r="G119" s="32"/>
      <c r="H119" s="33">
        <f t="shared" si="7"/>
        <v>1.2</v>
      </c>
      <c r="I119" s="32">
        <f t="shared" si="8"/>
        <v>739990.06612000009</v>
      </c>
      <c r="N119" s="34"/>
    </row>
    <row r="120">
      <c r="A120" s="36">
        <v>44972</v>
      </c>
      <c r="D120" s="1" t="s">
        <v>12</v>
      </c>
      <c r="E120" s="32">
        <f>57300/7.8</f>
        <v>7346.1538461538466</v>
      </c>
      <c r="F120" s="32">
        <f t="shared" si="6"/>
        <v>1472352.4838461538</v>
      </c>
      <c r="G120" s="32"/>
      <c r="H120" s="33">
        <f t="shared" si="7"/>
        <v>1.2</v>
      </c>
      <c r="I120" s="32">
        <f t="shared" si="8"/>
        <v>730910.21996615396</v>
      </c>
      <c r="N120" s="34"/>
    </row>
    <row r="121">
      <c r="A121" s="36">
        <v>44972</v>
      </c>
      <c r="D121" s="1" t="s">
        <v>12</v>
      </c>
      <c r="E121" s="32">
        <v>18853.830000000002</v>
      </c>
      <c r="F121" s="32">
        <f t="shared" si="6"/>
        <v>1491206.3138461539</v>
      </c>
      <c r="G121" s="32"/>
      <c r="H121" s="33">
        <f t="shared" si="7"/>
        <v>1.2</v>
      </c>
      <c r="I121" s="32">
        <f t="shared" si="8"/>
        <v>707606.88608615391</v>
      </c>
      <c r="N121" s="34"/>
    </row>
    <row r="122">
      <c r="A122" s="36">
        <v>44972</v>
      </c>
      <c r="D122" s="1" t="s">
        <v>12</v>
      </c>
      <c r="E122" s="32">
        <v>15600</v>
      </c>
      <c r="F122" s="32">
        <f t="shared" si="6"/>
        <v>1506806.3138461539</v>
      </c>
      <c r="G122" s="32"/>
      <c r="H122" s="33">
        <f t="shared" si="7"/>
        <v>1.2</v>
      </c>
      <c r="I122" s="32">
        <f t="shared" si="8"/>
        <v>688325.28608615394</v>
      </c>
      <c r="N122" s="34"/>
    </row>
    <row r="123">
      <c r="A123" s="36">
        <v>44972</v>
      </c>
      <c r="D123" s="1" t="s">
        <v>12</v>
      </c>
      <c r="E123" s="32">
        <v>495</v>
      </c>
      <c r="F123" s="32">
        <f t="shared" si="6"/>
        <v>1507301.3138461539</v>
      </c>
      <c r="G123" s="32"/>
      <c r="H123" s="33">
        <f t="shared" si="7"/>
        <v>1.2</v>
      </c>
      <c r="I123" s="32">
        <f t="shared" si="8"/>
        <v>687713.46608615399</v>
      </c>
      <c r="N123" s="34"/>
    </row>
    <row r="124">
      <c r="A124" s="36">
        <v>44972</v>
      </c>
      <c r="D124" s="1" t="s">
        <v>12</v>
      </c>
      <c r="E124" s="32">
        <v>1350</v>
      </c>
      <c r="F124" s="32">
        <f t="shared" si="6"/>
        <v>1508651.3138461539</v>
      </c>
      <c r="G124" s="32"/>
      <c r="H124" s="33">
        <f t="shared" si="7"/>
        <v>1.2</v>
      </c>
      <c r="I124" s="32">
        <f t="shared" si="8"/>
        <v>686044.86608615401</v>
      </c>
      <c r="N124" s="34"/>
    </row>
    <row r="125">
      <c r="A125" s="36">
        <v>44976</v>
      </c>
      <c r="D125" s="1" t="s">
        <v>12</v>
      </c>
      <c r="E125" s="32">
        <v>4768.1000000000004</v>
      </c>
      <c r="F125" s="32">
        <f t="shared" si="6"/>
        <v>1513419.413846154</v>
      </c>
      <c r="G125" s="32"/>
      <c r="H125" s="33">
        <f t="shared" si="7"/>
        <v>1.2</v>
      </c>
      <c r="I125" s="32">
        <f t="shared" si="8"/>
        <v>680151.49448615406</v>
      </c>
      <c r="N125" s="34"/>
    </row>
    <row r="126">
      <c r="A126" s="36">
        <v>44979</v>
      </c>
      <c r="D126" s="1" t="s">
        <v>12</v>
      </c>
      <c r="E126" s="32">
        <v>248.09999999999999</v>
      </c>
      <c r="F126" s="32">
        <f t="shared" si="6"/>
        <v>1513667.5138461541</v>
      </c>
      <c r="G126" s="32"/>
      <c r="H126" s="33">
        <f t="shared" si="7"/>
        <v>1.2</v>
      </c>
      <c r="I126" s="32">
        <f t="shared" si="8"/>
        <v>679844.84288615407</v>
      </c>
      <c r="N126" s="34"/>
    </row>
    <row r="127">
      <c r="A127" s="36">
        <v>44979</v>
      </c>
      <c r="D127" s="1" t="s">
        <v>12</v>
      </c>
      <c r="E127" s="32">
        <v>229.19999999999999</v>
      </c>
      <c r="F127" s="32">
        <f t="shared" si="6"/>
        <v>1513896.713846154</v>
      </c>
      <c r="G127" s="32"/>
      <c r="H127" s="33">
        <f t="shared" si="7"/>
        <v>1.2</v>
      </c>
      <c r="I127" s="32">
        <f t="shared" si="8"/>
        <v>679561.5516861541</v>
      </c>
      <c r="N127" s="34"/>
    </row>
    <row r="128">
      <c r="A128" s="36">
        <v>44979</v>
      </c>
      <c r="D128" s="1" t="s">
        <v>12</v>
      </c>
      <c r="E128" s="32">
        <v>22528</v>
      </c>
      <c r="F128" s="32">
        <f t="shared" si="6"/>
        <v>1536424.713846154</v>
      </c>
      <c r="G128" s="32"/>
      <c r="H128" s="33">
        <f t="shared" si="7"/>
        <v>1.2</v>
      </c>
      <c r="I128" s="32">
        <f t="shared" si="8"/>
        <v>651716.94368615409</v>
      </c>
      <c r="N128" s="34"/>
    </row>
    <row r="129">
      <c r="A129" s="36">
        <v>44981</v>
      </c>
      <c r="D129" s="1" t="s">
        <v>12</v>
      </c>
      <c r="E129" s="32">
        <v>82.920000000000002</v>
      </c>
      <c r="F129" s="32">
        <f t="shared" si="6"/>
        <v>1536507.633846154</v>
      </c>
      <c r="G129" s="32"/>
      <c r="H129" s="33">
        <f t="shared" si="7"/>
        <v>1.2</v>
      </c>
      <c r="I129" s="32">
        <f t="shared" si="8"/>
        <v>651614.45456615405</v>
      </c>
      <c r="N129" s="34"/>
    </row>
    <row r="130">
      <c r="A130" s="36">
        <v>44981</v>
      </c>
      <c r="D130" s="1" t="s">
        <v>12</v>
      </c>
      <c r="E130" s="32">
        <v>52545</v>
      </c>
      <c r="F130" s="32">
        <f t="shared" si="6"/>
        <v>1589052.633846154</v>
      </c>
      <c r="G130" s="32"/>
      <c r="H130" s="33">
        <f t="shared" si="7"/>
        <v>1.2</v>
      </c>
      <c r="I130" s="32">
        <f t="shared" si="8"/>
        <v>586668.83456615405</v>
      </c>
      <c r="N130" s="34"/>
    </row>
    <row r="131">
      <c r="A131" s="36">
        <v>44984</v>
      </c>
      <c r="D131" s="1" t="s">
        <v>12</v>
      </c>
      <c r="E131" s="32">
        <v>9590</v>
      </c>
      <c r="F131" s="32">
        <f t="shared" si="6"/>
        <v>1598642.633846154</v>
      </c>
      <c r="G131" s="32"/>
      <c r="H131" s="33">
        <f t="shared" si="7"/>
        <v>1.2</v>
      </c>
      <c r="I131" s="32">
        <f t="shared" si="8"/>
        <v>574815.59456615406</v>
      </c>
      <c r="N131" s="34"/>
    </row>
    <row r="132">
      <c r="A132" s="36"/>
      <c r="E132" s="32"/>
      <c r="F132" s="32">
        <f t="shared" si="6"/>
        <v>1598642.633846154</v>
      </c>
      <c r="G132" s="32">
        <v>1677055.26</v>
      </c>
      <c r="H132" s="33">
        <f t="shared" si="7"/>
        <v>1.2</v>
      </c>
      <c r="I132" s="32">
        <f t="shared" si="8"/>
        <v>2251870.8545661541</v>
      </c>
      <c r="N132" s="34"/>
    </row>
    <row r="133">
      <c r="A133" s="36">
        <v>44985</v>
      </c>
      <c r="D133" s="1" t="s">
        <v>12</v>
      </c>
      <c r="E133" s="32">
        <v>5735.4200000000001</v>
      </c>
      <c r="F133" s="32">
        <f t="shared" si="6"/>
        <v>1604378.0538461539</v>
      </c>
      <c r="G133" s="32"/>
      <c r="H133" s="33">
        <f t="shared" si="7"/>
        <v>1.2</v>
      </c>
      <c r="I133" s="32">
        <f t="shared" si="8"/>
        <v>2244781.8754461543</v>
      </c>
      <c r="N133" s="34"/>
    </row>
    <row r="134">
      <c r="A134" s="36">
        <v>44987</v>
      </c>
      <c r="D134" s="1" t="s">
        <v>12</v>
      </c>
      <c r="E134" s="32">
        <v>480</v>
      </c>
      <c r="F134" s="32">
        <f t="shared" si="6"/>
        <v>1604858.0538461539</v>
      </c>
      <c r="G134" s="32"/>
      <c r="H134" s="33">
        <f t="shared" si="7"/>
        <v>1.2</v>
      </c>
      <c r="I134" s="32">
        <f t="shared" si="8"/>
        <v>2244188.5954461545</v>
      </c>
      <c r="N134" s="34"/>
    </row>
    <row r="135">
      <c r="A135" s="36">
        <v>44987</v>
      </c>
      <c r="D135" s="1" t="s">
        <v>12</v>
      </c>
      <c r="E135" s="32">
        <v>48</v>
      </c>
      <c r="F135" s="32">
        <f t="shared" si="6"/>
        <v>1604906.0538461539</v>
      </c>
      <c r="G135" s="32"/>
      <c r="H135" s="33">
        <f t="shared" si="7"/>
        <v>1.2</v>
      </c>
      <c r="I135" s="32">
        <f t="shared" si="8"/>
        <v>2244129.2674461543</v>
      </c>
      <c r="N135" s="34"/>
    </row>
    <row r="136">
      <c r="A136" s="36">
        <v>44992</v>
      </c>
      <c r="D136" s="1" t="s">
        <v>12</v>
      </c>
      <c r="E136" s="32">
        <f>49984.53/7.8</f>
        <v>6408.2730769230766</v>
      </c>
      <c r="F136" s="32">
        <f t="shared" si="6"/>
        <v>1611314.326923077</v>
      </c>
      <c r="G136" s="32"/>
      <c r="H136" s="33">
        <f t="shared" si="7"/>
        <v>1.2</v>
      </c>
      <c r="I136" s="32">
        <f t="shared" si="8"/>
        <v>2236208.6419230774</v>
      </c>
      <c r="N136" s="34"/>
    </row>
    <row r="137">
      <c r="A137" s="36">
        <v>44992</v>
      </c>
      <c r="D137" s="1" t="s">
        <v>12</v>
      </c>
      <c r="E137" s="32">
        <v>15989.4</v>
      </c>
      <c r="F137" s="32">
        <f t="shared" si="6"/>
        <v>1627303.7269230769</v>
      </c>
      <c r="G137" s="32"/>
      <c r="H137" s="33">
        <f t="shared" si="7"/>
        <v>1.2</v>
      </c>
      <c r="I137" s="32">
        <f t="shared" si="8"/>
        <v>2216445.7435230776</v>
      </c>
      <c r="N137" s="34"/>
    </row>
    <row r="138">
      <c r="A138" s="36">
        <v>44995</v>
      </c>
      <c r="D138" s="1" t="s">
        <v>12</v>
      </c>
      <c r="E138" s="32">
        <f>80+640+651</f>
        <v>1371</v>
      </c>
      <c r="F138" s="32">
        <f t="shared" si="6"/>
        <v>1628674.7269230769</v>
      </c>
      <c r="G138" s="32"/>
      <c r="H138" s="33">
        <f t="shared" si="7"/>
        <v>1.2</v>
      </c>
      <c r="I138" s="32">
        <f t="shared" si="8"/>
        <v>2214751.1875230777</v>
      </c>
      <c r="N138" s="34"/>
    </row>
    <row r="139">
      <c r="A139" s="36">
        <v>44995</v>
      </c>
      <c r="D139" s="1" t="s">
        <v>12</v>
      </c>
      <c r="E139" s="32">
        <f>507+237.6+980+1295+1548+2587+2387+124</f>
        <v>9665.6000000000004</v>
      </c>
      <c r="F139" s="32">
        <f t="shared" si="6"/>
        <v>1638340.326923077</v>
      </c>
      <c r="G139" s="32"/>
      <c r="H139" s="33">
        <f t="shared" si="7"/>
        <v>1.2</v>
      </c>
      <c r="I139" s="32">
        <f t="shared" si="8"/>
        <v>2202804.5059230779</v>
      </c>
      <c r="N139" s="34"/>
    </row>
    <row r="140">
      <c r="A140" s="36">
        <v>44995</v>
      </c>
      <c r="D140" s="1" t="s">
        <v>12</v>
      </c>
      <c r="E140" s="32">
        <f>65.6+1246.4</f>
        <v>1312</v>
      </c>
      <c r="F140" s="32">
        <f t="shared" si="6"/>
        <v>1639652.326923077</v>
      </c>
      <c r="G140" s="32"/>
      <c r="H140" s="33">
        <f t="shared" si="7"/>
        <v>1.2</v>
      </c>
      <c r="I140" s="32">
        <f t="shared" si="8"/>
        <v>2201182.8739230777</v>
      </c>
      <c r="N140" s="34"/>
    </row>
    <row r="141">
      <c r="A141" s="36">
        <v>44998</v>
      </c>
      <c r="D141" s="1" t="s">
        <v>12</v>
      </c>
      <c r="E141" s="32">
        <v>68812.800000000003</v>
      </c>
      <c r="F141" s="32">
        <f t="shared" si="6"/>
        <v>1708465.126923077</v>
      </c>
      <c r="G141" s="32"/>
      <c r="H141" s="33">
        <f t="shared" si="7"/>
        <v>1.2</v>
      </c>
      <c r="I141" s="32">
        <f t="shared" si="8"/>
        <v>2116130.2531230776</v>
      </c>
      <c r="N141" s="34"/>
    </row>
    <row r="142">
      <c r="A142" s="36">
        <v>44998</v>
      </c>
      <c r="D142" s="1" t="s">
        <v>12</v>
      </c>
      <c r="E142" s="32">
        <v>7947.3699999999999</v>
      </c>
      <c r="F142" s="32">
        <f t="shared" si="6"/>
        <v>1716412.4969230772</v>
      </c>
      <c r="G142" s="32"/>
      <c r="H142" s="33">
        <f t="shared" si="7"/>
        <v>1.2</v>
      </c>
      <c r="I142" s="32">
        <f t="shared" si="8"/>
        <v>2106307.3038030774</v>
      </c>
      <c r="N142" s="34"/>
    </row>
    <row r="143">
      <c r="A143" s="36">
        <v>44998</v>
      </c>
      <c r="D143" s="1" t="s">
        <v>12</v>
      </c>
      <c r="E143" s="32">
        <v>392</v>
      </c>
      <c r="F143" s="32">
        <f t="shared" si="6"/>
        <v>1716804.4969230772</v>
      </c>
      <c r="G143" s="32"/>
      <c r="H143" s="33">
        <f t="shared" si="7"/>
        <v>1.2</v>
      </c>
      <c r="I143" s="32">
        <f t="shared" si="8"/>
        <v>2105822.7918030773</v>
      </c>
      <c r="N143" s="34"/>
    </row>
    <row r="144">
      <c r="A144" s="36">
        <v>44998</v>
      </c>
      <c r="D144" s="1" t="s">
        <v>12</v>
      </c>
      <c r="E144" s="32">
        <f>5735.42-4755.42</f>
        <v>980</v>
      </c>
      <c r="F144" s="32">
        <f t="shared" si="6"/>
        <v>1717784.4969230772</v>
      </c>
      <c r="G144" s="32"/>
      <c r="H144" s="33">
        <f t="shared" si="7"/>
        <v>1.2</v>
      </c>
      <c r="I144" s="32">
        <f t="shared" si="8"/>
        <v>2104611.5118030775</v>
      </c>
      <c r="N144" s="34"/>
    </row>
    <row r="145">
      <c r="A145" s="36">
        <v>44998</v>
      </c>
      <c r="D145" s="1" t="s">
        <v>12</v>
      </c>
      <c r="E145" s="32">
        <v>540</v>
      </c>
      <c r="F145" s="32">
        <f t="shared" si="6"/>
        <v>1718324.4969230772</v>
      </c>
      <c r="G145" s="32"/>
      <c r="H145" s="33">
        <f t="shared" si="7"/>
        <v>1.2</v>
      </c>
      <c r="I145" s="32">
        <f t="shared" si="8"/>
        <v>2103944.0718030776</v>
      </c>
      <c r="N145" s="34"/>
    </row>
    <row r="146">
      <c r="A146" s="36">
        <v>45000</v>
      </c>
      <c r="D146" s="1" t="s">
        <v>12</v>
      </c>
      <c r="E146" s="32">
        <f>2475/6.9</f>
        <v>358.695652173913</v>
      </c>
      <c r="F146" s="32">
        <f t="shared" si="6"/>
        <v>1718683.192575251</v>
      </c>
      <c r="G146" s="32"/>
      <c r="H146" s="33">
        <f t="shared" si="7"/>
        <v>1.2</v>
      </c>
      <c r="I146" s="32">
        <f t="shared" si="8"/>
        <v>2103500.7239769907</v>
      </c>
      <c r="N146" s="34"/>
    </row>
    <row r="147">
      <c r="A147" s="36">
        <v>45002</v>
      </c>
      <c r="D147" s="1" t="s">
        <v>12</v>
      </c>
      <c r="E147" s="32">
        <v>5400</v>
      </c>
      <c r="F147" s="32">
        <f t="shared" si="6"/>
        <v>1724083.192575251</v>
      </c>
      <c r="G147" s="32"/>
      <c r="H147" s="33">
        <f t="shared" si="7"/>
        <v>1.2</v>
      </c>
      <c r="I147" s="32">
        <f t="shared" si="8"/>
        <v>2096826.3239769908</v>
      </c>
      <c r="N147" s="34"/>
    </row>
    <row r="148">
      <c r="A148" s="36">
        <v>45005</v>
      </c>
      <c r="D148" s="1" t="s">
        <v>12</v>
      </c>
      <c r="E148" s="32">
        <v>10007.9</v>
      </c>
      <c r="F148" s="32">
        <f t="shared" si="6"/>
        <v>1734091.0925752509</v>
      </c>
      <c r="G148" s="32"/>
      <c r="H148" s="33">
        <f t="shared" si="7"/>
        <v>1.2</v>
      </c>
      <c r="I148" s="32">
        <f t="shared" si="8"/>
        <v>2084456.5595769908</v>
      </c>
      <c r="N148" s="34"/>
    </row>
    <row r="149">
      <c r="A149" s="36">
        <v>45005</v>
      </c>
      <c r="D149" s="1" t="s">
        <v>12</v>
      </c>
      <c r="E149" s="32">
        <v>28805</v>
      </c>
      <c r="F149" s="32">
        <f t="shared" si="6"/>
        <v>1762896.0925752509</v>
      </c>
      <c r="G149" s="32"/>
      <c r="H149" s="33">
        <f t="shared" si="7"/>
        <v>1.2</v>
      </c>
      <c r="I149" s="32">
        <f t="shared" si="8"/>
        <v>2048853.5795769908</v>
      </c>
      <c r="N149" s="34"/>
    </row>
    <row r="150">
      <c r="A150" s="36">
        <v>45005</v>
      </c>
      <c r="D150" s="1" t="s">
        <v>12</v>
      </c>
      <c r="E150" s="32">
        <v>6780</v>
      </c>
      <c r="F150" s="32">
        <f t="shared" si="6"/>
        <v>1769676.0925752509</v>
      </c>
      <c r="G150" s="32"/>
      <c r="H150" s="33">
        <f t="shared" si="7"/>
        <v>1.2</v>
      </c>
      <c r="I150" s="32">
        <f t="shared" si="8"/>
        <v>2040473.4995769907</v>
      </c>
      <c r="N150" s="34"/>
    </row>
    <row r="151">
      <c r="A151" s="36">
        <v>45022</v>
      </c>
      <c r="D151" s="1" t="s">
        <v>12</v>
      </c>
      <c r="E151" s="32">
        <v>56.18</v>
      </c>
      <c r="F151" s="32">
        <f t="shared" si="6"/>
        <v>1769732.2725752508</v>
      </c>
      <c r="G151" s="32"/>
      <c r="H151" s="33">
        <f t="shared" si="7"/>
        <v>1.2</v>
      </c>
      <c r="I151" s="32">
        <f t="shared" si="8"/>
        <v>2040404.0610969907</v>
      </c>
      <c r="N151" s="34"/>
    </row>
    <row r="152">
      <c r="A152" s="36">
        <v>45022</v>
      </c>
      <c r="D152" s="1" t="s">
        <v>12</v>
      </c>
      <c r="E152" s="32">
        <v>110</v>
      </c>
      <c r="F152" s="32">
        <f t="shared" si="6"/>
        <v>1769842.2725752508</v>
      </c>
      <c r="G152" s="32"/>
      <c r="H152" s="33">
        <f t="shared" si="7"/>
        <v>1.2</v>
      </c>
      <c r="I152" s="32">
        <f t="shared" si="8"/>
        <v>2040268.1010969908</v>
      </c>
      <c r="N152" s="34"/>
    </row>
    <row r="153">
      <c r="A153" s="36">
        <v>45026</v>
      </c>
      <c r="D153" s="1" t="s">
        <v>12</v>
      </c>
      <c r="E153" s="32">
        <f>80589.6/7.8</f>
        <v>10332.000000000002</v>
      </c>
      <c r="F153" s="32">
        <f t="shared" si="6"/>
        <v>1780174.2725752508</v>
      </c>
      <c r="G153" s="32"/>
      <c r="H153" s="33">
        <f t="shared" si="7"/>
        <v>1.2</v>
      </c>
      <c r="I153" s="32">
        <f t="shared" si="8"/>
        <v>2027497.7490969908</v>
      </c>
      <c r="N153" s="34"/>
    </row>
    <row r="154">
      <c r="A154" s="36">
        <v>45026</v>
      </c>
      <c r="D154" s="1" t="s">
        <v>12</v>
      </c>
      <c r="E154" s="32">
        <v>1512</v>
      </c>
      <c r="F154" s="32">
        <f t="shared" si="6"/>
        <v>1781686.2725752508</v>
      </c>
      <c r="G154" s="32"/>
      <c r="H154" s="33">
        <f t="shared" si="7"/>
        <v>1.2</v>
      </c>
      <c r="I154" s="32">
        <f t="shared" si="8"/>
        <v>2025628.9170969909</v>
      </c>
      <c r="N154" s="34"/>
    </row>
    <row r="155">
      <c r="A155" s="36">
        <v>45026</v>
      </c>
      <c r="D155" s="1" t="s">
        <v>12</v>
      </c>
      <c r="E155" s="32">
        <v>3795</v>
      </c>
      <c r="F155" s="32">
        <f t="shared" si="6"/>
        <v>1785481.2725752508</v>
      </c>
      <c r="G155" s="32"/>
      <c r="H155" s="33">
        <f t="shared" si="7"/>
        <v>1.2</v>
      </c>
      <c r="I155" s="32">
        <f t="shared" si="8"/>
        <v>2020938.2970969907</v>
      </c>
      <c r="J155" t="s">
        <v>22</v>
      </c>
      <c r="N155" s="34"/>
    </row>
    <row r="156">
      <c r="A156" s="36">
        <v>45026</v>
      </c>
      <c r="D156" s="1" t="s">
        <v>12</v>
      </c>
      <c r="E156" s="32">
        <f>15305/6.85</f>
        <v>2234.3065693430658</v>
      </c>
      <c r="F156" s="32">
        <f t="shared" si="6"/>
        <v>1787715.5791445938</v>
      </c>
      <c r="G156" s="32"/>
      <c r="H156" s="33">
        <f t="shared" si="7"/>
        <v>1.2</v>
      </c>
      <c r="I156" s="32">
        <f t="shared" si="8"/>
        <v>2018176.6941772827</v>
      </c>
      <c r="N156" s="34"/>
    </row>
    <row r="157">
      <c r="A157" s="36">
        <v>45033</v>
      </c>
      <c r="D157" s="1" t="s">
        <v>12</v>
      </c>
      <c r="E157" s="32">
        <v>1016</v>
      </c>
      <c r="F157" s="32">
        <f t="shared" si="6"/>
        <v>1788731.5791445938</v>
      </c>
      <c r="G157" s="32"/>
      <c r="H157" s="33">
        <f t="shared" si="7"/>
        <v>1.2</v>
      </c>
      <c r="I157" s="32">
        <f t="shared" si="8"/>
        <v>2016920.9181772827</v>
      </c>
      <c r="N157" s="34"/>
    </row>
    <row r="158">
      <c r="A158" s="36">
        <v>45035</v>
      </c>
      <c r="D158" s="1" t="s">
        <v>12</v>
      </c>
      <c r="E158" s="32">
        <v>38140.599999999999</v>
      </c>
      <c r="F158" s="32">
        <f t="shared" si="6"/>
        <v>1826872.1791445939</v>
      </c>
      <c r="G158" s="32"/>
      <c r="H158" s="33">
        <f t="shared" si="7"/>
        <v>1.2</v>
      </c>
      <c r="I158" s="32">
        <f t="shared" si="8"/>
        <v>1969779.1365772826</v>
      </c>
      <c r="N158" s="34"/>
    </row>
    <row r="159">
      <c r="A159" s="36">
        <v>45043</v>
      </c>
      <c r="D159" s="1" t="s">
        <v>12</v>
      </c>
      <c r="E159" s="32">
        <f>51111/7.8</f>
        <v>6552.6923076923076</v>
      </c>
      <c r="F159" s="32">
        <f t="shared" si="6"/>
        <v>1833424.8714522861</v>
      </c>
      <c r="G159" s="32"/>
      <c r="H159" s="33">
        <f t="shared" si="7"/>
        <v>1.2</v>
      </c>
      <c r="I159" s="32">
        <f t="shared" si="8"/>
        <v>1961680.008884975</v>
      </c>
      <c r="N159" s="34"/>
    </row>
    <row r="160">
      <c r="A160" s="36">
        <v>45043</v>
      </c>
      <c r="D160" s="1" t="s">
        <v>12</v>
      </c>
      <c r="E160" s="32">
        <v>16705.400000000001</v>
      </c>
      <c r="F160" s="32">
        <f t="shared" si="6"/>
        <v>1850130.271452286</v>
      </c>
      <c r="G160" s="32"/>
      <c r="H160" s="33">
        <f t="shared" si="7"/>
        <v>1.2</v>
      </c>
      <c r="I160" s="32">
        <f t="shared" si="8"/>
        <v>1941032.1344849749</v>
      </c>
      <c r="N160" s="34"/>
    </row>
    <row r="161">
      <c r="A161" s="36">
        <v>45043</v>
      </c>
      <c r="D161" s="1" t="s">
        <v>12</v>
      </c>
      <c r="E161" s="32">
        <v>9849</v>
      </c>
      <c r="F161" s="32">
        <f t="shared" si="6"/>
        <v>1859979.271452286</v>
      </c>
      <c r="G161" s="32"/>
      <c r="H161" s="33">
        <f t="shared" si="7"/>
        <v>1.2</v>
      </c>
      <c r="I161" s="32">
        <f t="shared" si="8"/>
        <v>1928858.7704849748</v>
      </c>
      <c r="N161" s="34"/>
    </row>
    <row r="162">
      <c r="A162" s="36">
        <v>45044</v>
      </c>
      <c r="D162" s="1" t="s">
        <v>12</v>
      </c>
      <c r="E162" s="32">
        <v>1428</v>
      </c>
      <c r="F162" s="32">
        <f t="shared" si="6"/>
        <v>1861407.271452286</v>
      </c>
      <c r="G162" s="32"/>
      <c r="H162" s="33">
        <f t="shared" si="7"/>
        <v>1.2</v>
      </c>
      <c r="I162" s="32">
        <f t="shared" si="8"/>
        <v>1927093.7624849749</v>
      </c>
      <c r="N162" s="34"/>
    </row>
    <row r="163">
      <c r="A163" s="36">
        <v>45044</v>
      </c>
      <c r="D163" s="1" t="s">
        <v>12</v>
      </c>
      <c r="E163" s="32">
        <v>95200</v>
      </c>
      <c r="F163" s="32">
        <f t="shared" si="6"/>
        <v>1956607.271452286</v>
      </c>
      <c r="G163" s="32"/>
      <c r="H163" s="33">
        <f t="shared" si="7"/>
        <v>1.2</v>
      </c>
      <c r="I163" s="32">
        <f t="shared" si="8"/>
        <v>1809426.562484975</v>
      </c>
      <c r="N163" s="34"/>
    </row>
    <row r="164">
      <c r="A164" s="36">
        <v>45044</v>
      </c>
      <c r="D164" s="1" t="s">
        <v>12</v>
      </c>
      <c r="E164" s="32">
        <v>75000</v>
      </c>
      <c r="F164" s="32">
        <f t="shared" ref="F164:F227" si="9">SUM($E$11:E164)</f>
        <v>2031607.271452286</v>
      </c>
      <c r="G164" s="32"/>
      <c r="H164" s="33">
        <f t="shared" ref="H164:H227" si="10">IF(F164/$H$7&lt;50000,$N$1,IF(F164/$H$7&lt;100000,$N$2,IF(F164/$H$7&lt;150000,$N$3,IF(F164/$H$7&lt;200000,$N$4,IF(F164/$H$7&lt;250000,$N$5,$N$6)))))</f>
        <v>1.2</v>
      </c>
      <c r="I164" s="32">
        <f t="shared" si="8"/>
        <v>1716726.562484975</v>
      </c>
      <c r="N164" s="34"/>
    </row>
    <row r="165">
      <c r="A165" s="36">
        <v>45050</v>
      </c>
      <c r="D165" s="1" t="s">
        <v>12</v>
      </c>
      <c r="E165" s="32">
        <v>1020</v>
      </c>
      <c r="F165" s="32">
        <f t="shared" si="9"/>
        <v>2032627.271452286</v>
      </c>
      <c r="G165" s="32"/>
      <c r="H165" s="33">
        <f t="shared" si="10"/>
        <v>1.2</v>
      </c>
      <c r="I165" s="32">
        <f t="shared" ref="I165:I228" si="11">G165+I164-E165*IF(D165="P",1.03,1)*H165</f>
        <v>1715465.842484975</v>
      </c>
      <c r="N165" s="34"/>
    </row>
    <row r="166">
      <c r="A166" s="36">
        <v>45050</v>
      </c>
      <c r="D166" s="1" t="s">
        <v>12</v>
      </c>
      <c r="E166" s="32">
        <v>106.8</v>
      </c>
      <c r="F166" s="32">
        <f t="shared" si="9"/>
        <v>2032734.0714522861</v>
      </c>
      <c r="H166" s="33">
        <f t="shared" si="10"/>
        <v>1.2</v>
      </c>
      <c r="I166" s="32">
        <f t="shared" si="11"/>
        <v>1715333.837684975</v>
      </c>
      <c r="N166" s="34"/>
    </row>
    <row r="167">
      <c r="A167" s="36">
        <v>45051</v>
      </c>
      <c r="D167" s="1" t="s">
        <v>12</v>
      </c>
      <c r="E167" s="32">
        <v>470.99000000000001</v>
      </c>
      <c r="F167" s="32">
        <f t="shared" si="9"/>
        <v>2033205.0614522861</v>
      </c>
      <c r="H167" s="33">
        <f t="shared" si="10"/>
        <v>1.2</v>
      </c>
      <c r="I167" s="32">
        <f t="shared" si="11"/>
        <v>1714751.6940449751</v>
      </c>
      <c r="N167" s="34"/>
    </row>
    <row r="168">
      <c r="A168" s="36">
        <v>45055</v>
      </c>
      <c r="D168" s="1" t="s">
        <v>12</v>
      </c>
      <c r="E168" s="32">
        <v>8220</v>
      </c>
      <c r="F168" s="32">
        <f t="shared" si="9"/>
        <v>2041425.0614522861</v>
      </c>
      <c r="G168" s="32"/>
      <c r="H168" s="33">
        <f t="shared" si="10"/>
        <v>1.2</v>
      </c>
      <c r="I168" s="32">
        <f t="shared" si="11"/>
        <v>1704591.7740449752</v>
      </c>
      <c r="N168" s="34"/>
    </row>
    <row r="169">
      <c r="A169" s="36">
        <v>45058</v>
      </c>
      <c r="D169" s="1" t="s">
        <v>12</v>
      </c>
      <c r="E169" s="32">
        <v>320.39999999999998</v>
      </c>
      <c r="F169" s="32">
        <f t="shared" si="9"/>
        <v>2041745.461452286</v>
      </c>
      <c r="H169" s="33">
        <f t="shared" si="10"/>
        <v>1.2</v>
      </c>
      <c r="I169" s="32">
        <f t="shared" si="11"/>
        <v>1704195.7596449752</v>
      </c>
      <c r="N169" s="34"/>
    </row>
    <row r="170">
      <c r="A170" s="36">
        <v>45058</v>
      </c>
      <c r="D170" s="1" t="s">
        <v>12</v>
      </c>
      <c r="E170" s="32">
        <v>8350</v>
      </c>
      <c r="F170" s="32">
        <f t="shared" si="9"/>
        <v>2050095.461452286</v>
      </c>
      <c r="G170" s="32"/>
      <c r="H170" s="33">
        <f t="shared" si="10"/>
        <v>1.2</v>
      </c>
      <c r="I170" s="32">
        <f t="shared" si="11"/>
        <v>1693875.1596449751</v>
      </c>
      <c r="N170" s="34"/>
    </row>
    <row r="171">
      <c r="A171" s="36">
        <v>45058</v>
      </c>
      <c r="D171" s="1" t="s">
        <v>12</v>
      </c>
      <c r="E171" s="32">
        <v>34700.199999999997</v>
      </c>
      <c r="F171" s="32">
        <f t="shared" si="9"/>
        <v>2084795.6614522859</v>
      </c>
      <c r="G171" s="32"/>
      <c r="H171" s="33">
        <f t="shared" si="10"/>
        <v>1.2</v>
      </c>
      <c r="I171" s="32">
        <f t="shared" si="11"/>
        <v>1650985.712444975</v>
      </c>
      <c r="N171" s="34"/>
    </row>
    <row r="172">
      <c r="A172" s="36">
        <v>45058</v>
      </c>
      <c r="D172" s="1" t="s">
        <v>12</v>
      </c>
      <c r="E172" s="32">
        <v>320.39999999999998</v>
      </c>
      <c r="F172" s="32">
        <f t="shared" si="9"/>
        <v>2085116.0614522859</v>
      </c>
      <c r="G172" s="32"/>
      <c r="H172" s="33">
        <f t="shared" si="10"/>
        <v>1.2</v>
      </c>
      <c r="I172" s="32">
        <f t="shared" si="11"/>
        <v>1650589.6980449751</v>
      </c>
      <c r="N172" s="34"/>
    </row>
    <row r="173">
      <c r="A173" s="36">
        <v>45062</v>
      </c>
      <c r="D173" s="1" t="s">
        <v>12</v>
      </c>
      <c r="E173" s="32">
        <v>50.289999999999999</v>
      </c>
      <c r="F173" s="32">
        <f t="shared" si="9"/>
        <v>2085166.3514522859</v>
      </c>
      <c r="G173" s="32"/>
      <c r="H173" s="33">
        <f t="shared" si="10"/>
        <v>1.2</v>
      </c>
      <c r="I173" s="32">
        <f t="shared" si="11"/>
        <v>1650527.5396049751</v>
      </c>
      <c r="N173" s="34"/>
    </row>
    <row r="174">
      <c r="A174" s="36">
        <v>45070</v>
      </c>
      <c r="D174" s="1" t="s">
        <v>12</v>
      </c>
      <c r="E174" s="32">
        <v>15988.799999999999</v>
      </c>
      <c r="F174" s="32">
        <f t="shared" si="9"/>
        <v>2101155.1514522857</v>
      </c>
      <c r="G174" s="32"/>
      <c r="H174" s="33">
        <f t="shared" si="10"/>
        <v>1.2</v>
      </c>
      <c r="I174" s="32">
        <f t="shared" si="11"/>
        <v>1630765.3828049751</v>
      </c>
      <c r="J174" t="s">
        <v>23</v>
      </c>
      <c r="N174" s="34"/>
    </row>
    <row r="175">
      <c r="A175" s="36">
        <v>45071</v>
      </c>
      <c r="D175" s="1" t="s">
        <v>12</v>
      </c>
      <c r="E175" s="32">
        <f>1442+1282.5+711.6+1080+1752</f>
        <v>6268.1000000000004</v>
      </c>
      <c r="F175" s="32">
        <f t="shared" si="9"/>
        <v>2107423.2514522858</v>
      </c>
      <c r="G175" s="32"/>
      <c r="H175" s="33">
        <f t="shared" si="10"/>
        <v>1.2</v>
      </c>
      <c r="I175" s="32">
        <f t="shared" si="11"/>
        <v>1623018.0112049752</v>
      </c>
      <c r="N175" s="34"/>
    </row>
    <row r="176">
      <c r="A176" s="36">
        <v>45071</v>
      </c>
      <c r="D176" s="1" t="s">
        <v>12</v>
      </c>
      <c r="E176" s="32">
        <f>1080+150</f>
        <v>1230</v>
      </c>
      <c r="F176" s="32">
        <f t="shared" si="9"/>
        <v>2108653.2514522858</v>
      </c>
      <c r="G176" s="32"/>
      <c r="H176" s="33">
        <f t="shared" si="10"/>
        <v>1.2</v>
      </c>
      <c r="I176" s="32">
        <f t="shared" si="11"/>
        <v>1621497.7312049752</v>
      </c>
      <c r="N176" s="34"/>
    </row>
    <row r="177">
      <c r="A177" s="36">
        <v>45071</v>
      </c>
      <c r="D177" s="1" t="s">
        <v>12</v>
      </c>
      <c r="E177" s="32">
        <v>1135.2</v>
      </c>
      <c r="F177" s="32">
        <f t="shared" si="9"/>
        <v>2109788.451452286</v>
      </c>
      <c r="H177" s="33">
        <f t="shared" si="10"/>
        <v>1.2</v>
      </c>
      <c r="I177" s="32">
        <f t="shared" si="11"/>
        <v>1620094.6240049752</v>
      </c>
      <c r="N177" s="34"/>
    </row>
    <row r="178">
      <c r="A178" s="36">
        <v>45071</v>
      </c>
      <c r="D178" s="1" t="s">
        <v>12</v>
      </c>
      <c r="E178" s="32">
        <v>14.5</v>
      </c>
      <c r="F178" s="32">
        <f t="shared" si="9"/>
        <v>2109802.951452286</v>
      </c>
      <c r="G178" s="32"/>
      <c r="H178" s="33">
        <f t="shared" si="10"/>
        <v>1.2</v>
      </c>
      <c r="I178" s="32">
        <f t="shared" si="11"/>
        <v>1620076.7020049752</v>
      </c>
      <c r="N178" s="34"/>
    </row>
    <row r="179">
      <c r="A179" s="36">
        <v>45071</v>
      </c>
      <c r="D179" s="1" t="s">
        <v>12</v>
      </c>
      <c r="E179" s="32">
        <f>2970*0.6</f>
        <v>1782</v>
      </c>
      <c r="F179" s="32">
        <f t="shared" si="9"/>
        <v>2111584.951452286</v>
      </c>
      <c r="G179" s="32"/>
      <c r="H179" s="33">
        <f t="shared" si="10"/>
        <v>1.2</v>
      </c>
      <c r="I179" s="32">
        <f t="shared" si="11"/>
        <v>1617874.1500049753</v>
      </c>
      <c r="N179" s="34"/>
    </row>
    <row r="180">
      <c r="A180" s="36">
        <v>45071</v>
      </c>
      <c r="D180" s="1" t="s">
        <v>12</v>
      </c>
      <c r="E180" s="32">
        <f>9785*0.6</f>
        <v>5871</v>
      </c>
      <c r="F180" s="32">
        <f t="shared" si="9"/>
        <v>2117455.951452286</v>
      </c>
      <c r="G180" s="32"/>
      <c r="H180" s="33">
        <f t="shared" si="10"/>
        <v>1.2</v>
      </c>
      <c r="I180" s="32">
        <f t="shared" si="11"/>
        <v>1610617.5940049752</v>
      </c>
      <c r="K180" s="2"/>
      <c r="N180" s="34"/>
    </row>
    <row r="181">
      <c r="A181" s="36">
        <v>45071</v>
      </c>
      <c r="D181" s="1" t="s">
        <v>12</v>
      </c>
      <c r="E181" s="32">
        <v>40260</v>
      </c>
      <c r="F181" s="32">
        <f t="shared" si="9"/>
        <v>2157715.951452286</v>
      </c>
      <c r="G181" s="32"/>
      <c r="H181" s="33">
        <f t="shared" si="10"/>
        <v>1.2</v>
      </c>
      <c r="I181" s="32">
        <f t="shared" si="11"/>
        <v>1560856.2340049751</v>
      </c>
      <c r="K181" s="2"/>
      <c r="N181" s="34"/>
    </row>
    <row r="182">
      <c r="A182" s="36">
        <v>45071</v>
      </c>
      <c r="D182" s="1" t="s">
        <v>12</v>
      </c>
      <c r="E182" s="32">
        <v>339</v>
      </c>
      <c r="F182" s="32">
        <f t="shared" si="9"/>
        <v>2158054.951452286</v>
      </c>
      <c r="G182" s="32"/>
      <c r="H182" s="33">
        <f t="shared" si="10"/>
        <v>1.2</v>
      </c>
      <c r="I182" s="32">
        <f t="shared" si="11"/>
        <v>1560437.2300049751</v>
      </c>
      <c r="K182" s="32"/>
      <c r="L182" s="2"/>
      <c r="N182" s="34"/>
    </row>
    <row r="183">
      <c r="A183" s="36">
        <v>45071</v>
      </c>
      <c r="D183" s="1" t="s">
        <v>12</v>
      </c>
      <c r="E183" s="32">
        <v>20700</v>
      </c>
      <c r="F183" s="32">
        <f t="shared" si="9"/>
        <v>2178754.951452286</v>
      </c>
      <c r="G183" s="32"/>
      <c r="H183" s="33">
        <f t="shared" si="10"/>
        <v>1.2</v>
      </c>
      <c r="I183" s="32">
        <f t="shared" si="11"/>
        <v>1534852.0300049752</v>
      </c>
      <c r="N183" s="34"/>
    </row>
    <row r="184">
      <c r="A184" s="36">
        <v>45083</v>
      </c>
      <c r="D184" s="1" t="s">
        <v>12</v>
      </c>
      <c r="E184" s="32">
        <f>35000*0.045</f>
        <v>1575</v>
      </c>
      <c r="F184" s="32">
        <f t="shared" si="9"/>
        <v>2180329.951452286</v>
      </c>
      <c r="G184" s="32"/>
      <c r="H184" s="33">
        <f t="shared" si="10"/>
        <v>1.2</v>
      </c>
      <c r="I184" s="32">
        <f t="shared" si="11"/>
        <v>1532905.3300049752</v>
      </c>
      <c r="N184" s="34"/>
    </row>
    <row r="185">
      <c r="A185" s="36">
        <v>45083</v>
      </c>
      <c r="D185" s="1" t="s">
        <v>12</v>
      </c>
      <c r="E185" s="32">
        <f>15000*0.454</f>
        <v>6810</v>
      </c>
      <c r="F185" s="32">
        <f t="shared" si="9"/>
        <v>2187139.951452286</v>
      </c>
      <c r="G185" s="32"/>
      <c r="H185" s="33">
        <f t="shared" si="10"/>
        <v>1.2</v>
      </c>
      <c r="I185" s="32">
        <f t="shared" si="11"/>
        <v>1524488.1700049753</v>
      </c>
      <c r="N185" s="34"/>
    </row>
    <row r="186">
      <c r="A186" s="36">
        <v>45083</v>
      </c>
      <c r="D186" s="1" t="s">
        <v>12</v>
      </c>
      <c r="E186" s="32">
        <f>19660.8+39321.6+29491.2+19660.8+19660.8+19660.8+9830.4+9830.4+9830.4+9830.4+9830.4+34398.62+1599.94</f>
        <v>232606.55999999997</v>
      </c>
      <c r="F186" s="32">
        <f t="shared" si="9"/>
        <v>2419746.511452286</v>
      </c>
      <c r="G186" s="32"/>
      <c r="H186" s="33">
        <f t="shared" si="10"/>
        <v>1.2</v>
      </c>
      <c r="I186" s="32">
        <f t="shared" si="11"/>
        <v>1236986.4618449754</v>
      </c>
      <c r="N186" s="34"/>
    </row>
    <row r="187">
      <c r="A187" s="36">
        <v>45083</v>
      </c>
      <c r="D187" s="1" t="s">
        <v>12</v>
      </c>
      <c r="E187" s="32">
        <f>147456+19660.8+49152</f>
        <v>216268.79999999999</v>
      </c>
      <c r="F187" s="32">
        <f t="shared" si="9"/>
        <v>2636015.3114522859</v>
      </c>
      <c r="G187" s="32"/>
      <c r="H187" s="33">
        <f t="shared" si="10"/>
        <v>1.2</v>
      </c>
      <c r="I187" s="32">
        <f t="shared" si="11"/>
        <v>969678.22504497529</v>
      </c>
      <c r="N187" s="34"/>
    </row>
    <row r="188">
      <c r="A188" s="36">
        <v>45083</v>
      </c>
      <c r="D188" s="1" t="s">
        <v>12</v>
      </c>
      <c r="E188" s="32">
        <f>8960*2.2</f>
        <v>19712</v>
      </c>
      <c r="F188" s="32">
        <f t="shared" si="9"/>
        <v>2655727.3114522859</v>
      </c>
      <c r="G188" s="32"/>
      <c r="H188" s="33">
        <f t="shared" si="10"/>
        <v>1.2</v>
      </c>
      <c r="I188" s="32">
        <f t="shared" si="11"/>
        <v>945314.19304497528</v>
      </c>
      <c r="N188" s="34"/>
    </row>
    <row r="189">
      <c r="A189" s="36">
        <v>45083</v>
      </c>
      <c r="D189" s="1" t="s">
        <v>12</v>
      </c>
      <c r="E189" s="32">
        <f>392+4136</f>
        <v>4528</v>
      </c>
      <c r="F189" s="32">
        <f t="shared" si="9"/>
        <v>2660255.3114522859</v>
      </c>
      <c r="G189" s="32"/>
      <c r="H189" s="33">
        <f t="shared" si="10"/>
        <v>1.2</v>
      </c>
      <c r="I189" s="32">
        <f t="shared" si="11"/>
        <v>939717.58504497528</v>
      </c>
      <c r="N189" s="34"/>
    </row>
    <row r="190">
      <c r="A190" s="36">
        <v>45083</v>
      </c>
      <c r="D190" s="1" t="s">
        <v>12</v>
      </c>
      <c r="E190" s="32">
        <f>5791.6-3687.6+6500</f>
        <v>8604</v>
      </c>
      <c r="F190" s="32">
        <f t="shared" si="9"/>
        <v>2668859.3114522859</v>
      </c>
      <c r="G190" s="32"/>
      <c r="H190" s="33">
        <f t="shared" si="10"/>
        <v>1.2</v>
      </c>
      <c r="I190" s="32">
        <f t="shared" si="11"/>
        <v>929083.04104497528</v>
      </c>
      <c r="N190" s="34"/>
    </row>
    <row r="191">
      <c r="A191" s="36">
        <v>45083</v>
      </c>
      <c r="D191" s="1" t="s">
        <v>12</v>
      </c>
      <c r="E191" s="32">
        <f>1230+6268.1</f>
        <v>7498.1000000000004</v>
      </c>
      <c r="F191" s="32">
        <f t="shared" si="9"/>
        <v>2676357.4114522859</v>
      </c>
      <c r="G191" s="32"/>
      <c r="H191" s="33">
        <f t="shared" si="10"/>
        <v>1.2</v>
      </c>
      <c r="I191" s="32">
        <f t="shared" si="11"/>
        <v>919815.3894449753</v>
      </c>
      <c r="N191" s="34"/>
    </row>
    <row r="192">
      <c r="A192" s="36">
        <v>45083</v>
      </c>
      <c r="D192" s="1" t="s">
        <v>12</v>
      </c>
      <c r="E192" s="32">
        <v>2203.8400000000001</v>
      </c>
      <c r="F192" s="32">
        <f t="shared" si="9"/>
        <v>2678561.2514522858</v>
      </c>
      <c r="G192" s="32"/>
      <c r="H192" s="33">
        <f t="shared" si="10"/>
        <v>1.2</v>
      </c>
      <c r="I192" s="32">
        <f t="shared" si="11"/>
        <v>917091.44320497534</v>
      </c>
      <c r="N192" s="34"/>
    </row>
    <row r="193">
      <c r="A193" s="36">
        <v>45083</v>
      </c>
      <c r="D193" s="1" t="s">
        <v>12</v>
      </c>
      <c r="E193" s="32">
        <v>570</v>
      </c>
      <c r="F193" s="32">
        <f t="shared" si="9"/>
        <v>2679131.2514522858</v>
      </c>
      <c r="G193" s="32"/>
      <c r="H193" s="33">
        <f t="shared" si="10"/>
        <v>1.2</v>
      </c>
      <c r="I193" s="32">
        <f t="shared" si="11"/>
        <v>916386.92320497532</v>
      </c>
      <c r="K193" s="2"/>
      <c r="N193" s="34"/>
    </row>
    <row r="194">
      <c r="A194" s="36">
        <v>45089</v>
      </c>
      <c r="D194" s="1" t="s">
        <v>12</v>
      </c>
      <c r="E194" s="32">
        <v>3134.2399999999998</v>
      </c>
      <c r="F194" s="32">
        <f t="shared" si="9"/>
        <v>2682265.491452286</v>
      </c>
      <c r="G194" s="32"/>
      <c r="H194" s="33">
        <f t="shared" si="10"/>
        <v>1.2</v>
      </c>
      <c r="I194" s="32">
        <f t="shared" si="11"/>
        <v>912513.00256497529</v>
      </c>
      <c r="K194" s="2"/>
      <c r="N194" s="34"/>
    </row>
    <row r="195">
      <c r="A195" s="36">
        <v>45090</v>
      </c>
      <c r="D195" s="1" t="s">
        <v>12</v>
      </c>
      <c r="E195" s="32">
        <v>7925</v>
      </c>
      <c r="F195" s="32">
        <f t="shared" si="9"/>
        <v>2690190.491452286</v>
      </c>
      <c r="G195" s="32"/>
      <c r="H195" s="33">
        <f t="shared" si="10"/>
        <v>1.2</v>
      </c>
      <c r="I195" s="32">
        <f t="shared" si="11"/>
        <v>902717.70256497525</v>
      </c>
      <c r="K195" s="32"/>
      <c r="L195" s="2"/>
      <c r="N195" s="34"/>
    </row>
    <row r="196">
      <c r="A196" s="36">
        <v>45092</v>
      </c>
      <c r="D196" s="1" t="s">
        <v>12</v>
      </c>
      <c r="E196" s="32">
        <v>32671.02</v>
      </c>
      <c r="F196" s="32">
        <f t="shared" si="9"/>
        <v>2722861.511452286</v>
      </c>
      <c r="G196" s="32"/>
      <c r="H196" s="33">
        <f t="shared" si="10"/>
        <v>1.2</v>
      </c>
      <c r="I196" s="32">
        <f t="shared" si="11"/>
        <v>862336.32184497523</v>
      </c>
      <c r="K196" s="32"/>
      <c r="L196" s="2"/>
      <c r="N196" s="34"/>
    </row>
    <row r="197">
      <c r="A197" s="36">
        <v>45093</v>
      </c>
      <c r="D197" s="1" t="s">
        <v>12</v>
      </c>
      <c r="E197" s="32">
        <v>1710</v>
      </c>
      <c r="F197" s="32">
        <f t="shared" si="9"/>
        <v>2724571.511452286</v>
      </c>
      <c r="G197" s="32"/>
      <c r="H197" s="33">
        <f t="shared" si="10"/>
        <v>1.2</v>
      </c>
      <c r="I197" s="32">
        <f t="shared" si="11"/>
        <v>860222.76184497518</v>
      </c>
      <c r="K197" s="32"/>
      <c r="L197" s="2"/>
      <c r="N197" s="34"/>
    </row>
    <row r="198">
      <c r="A198" s="36">
        <v>45096</v>
      </c>
      <c r="D198" s="1" t="s">
        <v>12</v>
      </c>
      <c r="E198" s="32">
        <f>270+321</f>
        <v>591</v>
      </c>
      <c r="F198" s="32">
        <f t="shared" si="9"/>
        <v>2725162.511452286</v>
      </c>
      <c r="G198" s="32"/>
      <c r="H198" s="33">
        <f t="shared" si="10"/>
        <v>1.2</v>
      </c>
      <c r="I198" s="32">
        <f t="shared" si="11"/>
        <v>859492.28584497515</v>
      </c>
      <c r="K198" s="32"/>
      <c r="L198" s="2"/>
      <c r="N198" s="34"/>
    </row>
    <row r="199">
      <c r="A199" s="36">
        <v>45097</v>
      </c>
      <c r="D199" s="1" t="s">
        <v>12</v>
      </c>
      <c r="E199" s="32">
        <v>25500</v>
      </c>
      <c r="F199" s="32">
        <f t="shared" si="9"/>
        <v>2750662.511452286</v>
      </c>
      <c r="G199" s="32"/>
      <c r="H199" s="33">
        <f t="shared" si="10"/>
        <v>1.2</v>
      </c>
      <c r="I199" s="32">
        <f t="shared" si="11"/>
        <v>827974.28584497515</v>
      </c>
      <c r="K199" s="32"/>
      <c r="L199" s="2"/>
      <c r="N199" s="34"/>
    </row>
    <row r="200">
      <c r="A200" s="36">
        <v>45097</v>
      </c>
      <c r="D200" s="1" t="s">
        <v>12</v>
      </c>
      <c r="E200" s="32">
        <v>16.199999999999999</v>
      </c>
      <c r="F200" s="32">
        <f t="shared" si="9"/>
        <v>2750678.7114522862</v>
      </c>
      <c r="G200" s="32"/>
      <c r="H200" s="33">
        <f t="shared" si="10"/>
        <v>1.2</v>
      </c>
      <c r="I200" s="32">
        <f t="shared" si="11"/>
        <v>827954.2626449751</v>
      </c>
      <c r="K200" s="32"/>
      <c r="L200" s="2"/>
      <c r="N200" s="34"/>
    </row>
    <row r="201">
      <c r="A201" s="36">
        <v>45097</v>
      </c>
      <c r="D201" s="1" t="s">
        <v>12</v>
      </c>
      <c r="E201" s="32">
        <f>21960-6222</f>
        <v>15738</v>
      </c>
      <c r="F201" s="32">
        <f t="shared" si="9"/>
        <v>2766416.7114522862</v>
      </c>
      <c r="G201" s="32"/>
      <c r="H201" s="33">
        <f t="shared" si="10"/>
        <v>1.2</v>
      </c>
      <c r="I201" s="32">
        <f t="shared" si="11"/>
        <v>808502.09464497515</v>
      </c>
      <c r="K201" s="32"/>
      <c r="L201" s="2"/>
      <c r="N201" s="34"/>
    </row>
    <row r="202">
      <c r="A202" s="36">
        <v>45097</v>
      </c>
      <c r="D202" s="1" t="s">
        <v>12</v>
      </c>
      <c r="E202" s="32">
        <f>6222+20130+3051</f>
        <v>29403</v>
      </c>
      <c r="F202" s="32">
        <f t="shared" si="9"/>
        <v>2795819.7114522862</v>
      </c>
      <c r="G202" s="32"/>
      <c r="H202" s="33">
        <f t="shared" si="10"/>
        <v>1.2</v>
      </c>
      <c r="I202" s="32">
        <f t="shared" si="11"/>
        <v>772159.98664497514</v>
      </c>
      <c r="K202" s="32"/>
      <c r="L202" s="2"/>
      <c r="N202" s="34"/>
    </row>
    <row r="203">
      <c r="A203" s="36">
        <v>45097</v>
      </c>
      <c r="D203" s="1" t="s">
        <v>12</v>
      </c>
      <c r="E203" s="32">
        <v>2034</v>
      </c>
      <c r="F203" s="32">
        <f t="shared" si="9"/>
        <v>2797853.7114522862</v>
      </c>
      <c r="G203" s="32"/>
      <c r="H203" s="33">
        <f t="shared" si="10"/>
        <v>1.2</v>
      </c>
      <c r="I203" s="32">
        <f t="shared" si="11"/>
        <v>769645.96264497517</v>
      </c>
      <c r="K203" s="32"/>
      <c r="L203" s="2"/>
      <c r="N203" s="34"/>
    </row>
    <row r="204">
      <c r="A204" s="36">
        <v>45097</v>
      </c>
      <c r="D204" s="1" t="s">
        <v>12</v>
      </c>
      <c r="E204" s="32">
        <f>31500/7.8</f>
        <v>4038.4615384615386</v>
      </c>
      <c r="F204" s="32">
        <f t="shared" si="9"/>
        <v>2801892.1729907477</v>
      </c>
      <c r="G204" s="32"/>
      <c r="H204" s="33">
        <f t="shared" si="10"/>
        <v>1.2</v>
      </c>
      <c r="I204" s="32">
        <f t="shared" si="11"/>
        <v>764654.42418343667</v>
      </c>
      <c r="N204" s="34"/>
    </row>
    <row r="205">
      <c r="A205" s="36">
        <v>45104</v>
      </c>
      <c r="D205" s="1" t="s">
        <v>12</v>
      </c>
      <c r="E205" s="32">
        <v>29000</v>
      </c>
      <c r="F205" s="32">
        <f t="shared" si="9"/>
        <v>2830892.1729907477</v>
      </c>
      <c r="G205" s="32"/>
      <c r="H205" s="33">
        <f t="shared" si="10"/>
        <v>1.2</v>
      </c>
      <c r="I205" s="32">
        <f t="shared" si="11"/>
        <v>728810.42418343667</v>
      </c>
      <c r="K205" s="2"/>
      <c r="N205" s="34"/>
    </row>
    <row r="206">
      <c r="A206" s="36">
        <v>45105</v>
      </c>
      <c r="D206" s="1" t="s">
        <v>12</v>
      </c>
      <c r="E206" s="32">
        <f>828+2003.2</f>
        <v>2831.1999999999998</v>
      </c>
      <c r="F206" s="32">
        <f t="shared" si="9"/>
        <v>2833723.3729907479</v>
      </c>
      <c r="G206" s="32"/>
      <c r="H206" s="33">
        <f t="shared" si="10"/>
        <v>1.2</v>
      </c>
      <c r="I206" s="32">
        <f t="shared" si="11"/>
        <v>725311.06098343665</v>
      </c>
      <c r="K206" s="2"/>
      <c r="N206" s="34"/>
    </row>
    <row r="207">
      <c r="A207" s="36">
        <v>45106</v>
      </c>
      <c r="D207" s="1" t="s">
        <v>12</v>
      </c>
      <c r="E207" s="32">
        <f>1400.6+173.1</f>
        <v>1573.6999999999998</v>
      </c>
      <c r="F207" s="32">
        <f t="shared" si="9"/>
        <v>2835297.0729907481</v>
      </c>
      <c r="G207" s="32"/>
      <c r="H207" s="33">
        <f t="shared" si="10"/>
        <v>1.2</v>
      </c>
      <c r="I207" s="32">
        <f t="shared" si="11"/>
        <v>723365.96778343664</v>
      </c>
      <c r="K207" s="2"/>
      <c r="N207" s="34"/>
    </row>
    <row r="208">
      <c r="A208" s="36">
        <v>45107</v>
      </c>
      <c r="D208" s="1" t="s">
        <v>12</v>
      </c>
      <c r="E208" s="32">
        <v>8280</v>
      </c>
      <c r="F208" s="32">
        <f t="shared" si="9"/>
        <v>2843577.0729907481</v>
      </c>
      <c r="G208" s="32"/>
      <c r="H208" s="33">
        <f t="shared" si="10"/>
        <v>1.2</v>
      </c>
      <c r="I208" s="32">
        <f t="shared" si="11"/>
        <v>713131.88778343669</v>
      </c>
      <c r="K208" s="32"/>
      <c r="L208" s="2"/>
      <c r="N208" s="34"/>
    </row>
    <row r="209">
      <c r="A209" s="36">
        <v>45107</v>
      </c>
      <c r="D209" s="1" t="s">
        <v>12</v>
      </c>
      <c r="E209" s="32">
        <v>533.89999999999998</v>
      </c>
      <c r="F209" s="32">
        <f t="shared" si="9"/>
        <v>2844110.972990748</v>
      </c>
      <c r="G209" s="32"/>
      <c r="H209" s="33">
        <f t="shared" si="10"/>
        <v>1.2</v>
      </c>
      <c r="I209" s="32">
        <f t="shared" si="11"/>
        <v>712471.98738343664</v>
      </c>
      <c r="K209" s="32"/>
      <c r="L209" s="2"/>
      <c r="N209" s="34"/>
    </row>
    <row r="210">
      <c r="A210" s="36">
        <v>45107</v>
      </c>
      <c r="D210" s="1" t="s">
        <v>12</v>
      </c>
      <c r="E210" s="32">
        <f>15435/7.75</f>
        <v>1991.6129032258063</v>
      </c>
      <c r="F210" s="32">
        <f t="shared" si="9"/>
        <v>2846102.5858939737</v>
      </c>
      <c r="G210" s="32"/>
      <c r="H210" s="33">
        <f t="shared" si="10"/>
        <v>1.2</v>
      </c>
      <c r="I210" s="32">
        <f t="shared" si="11"/>
        <v>710010.35383504955</v>
      </c>
      <c r="K210" s="32"/>
      <c r="L210" s="2"/>
      <c r="N210" s="34"/>
    </row>
    <row r="211">
      <c r="A211" s="36">
        <v>45107</v>
      </c>
      <c r="D211" s="1" t="s">
        <v>12</v>
      </c>
      <c r="E211" s="32">
        <f>148387.2/7.75</f>
        <v>19146.735483870969</v>
      </c>
      <c r="F211" s="32">
        <f t="shared" si="9"/>
        <v>2865249.3213778445</v>
      </c>
      <c r="G211" s="32"/>
      <c r="H211" s="33">
        <f t="shared" si="10"/>
        <v>1.2</v>
      </c>
      <c r="I211" s="32">
        <f t="shared" si="11"/>
        <v>686344.98877698509</v>
      </c>
      <c r="K211" s="32"/>
      <c r="L211" s="2"/>
      <c r="N211" s="34"/>
    </row>
    <row r="212">
      <c r="A212" s="36">
        <v>45110</v>
      </c>
      <c r="D212" s="1" t="s">
        <v>12</v>
      </c>
      <c r="E212" s="32">
        <v>12503.6</v>
      </c>
      <c r="F212" s="32">
        <f t="shared" si="9"/>
        <v>2877752.9213778446</v>
      </c>
      <c r="G212" s="32"/>
      <c r="H212" s="33">
        <f t="shared" si="10"/>
        <v>1.2</v>
      </c>
      <c r="I212" s="32">
        <f t="shared" si="11"/>
        <v>670890.53917698504</v>
      </c>
      <c r="J212" s="38" t="s">
        <v>24</v>
      </c>
      <c r="K212" s="32"/>
      <c r="L212" s="2"/>
      <c r="N212" s="34"/>
    </row>
    <row r="213">
      <c r="A213" s="36">
        <v>45111</v>
      </c>
      <c r="D213" s="1" t="s">
        <v>12</v>
      </c>
      <c r="E213" s="32">
        <f>62469/7.75</f>
        <v>8060.5161290322585</v>
      </c>
      <c r="F213" s="32">
        <f t="shared" si="9"/>
        <v>2885813.4375068769</v>
      </c>
      <c r="G213" s="32"/>
      <c r="H213" s="33">
        <f t="shared" si="10"/>
        <v>1.2</v>
      </c>
      <c r="I213" s="32">
        <f t="shared" si="11"/>
        <v>660927.74124150118</v>
      </c>
      <c r="K213" s="32"/>
      <c r="L213" s="2"/>
      <c r="N213" s="34"/>
    </row>
    <row r="214">
      <c r="A214" s="36">
        <v>45113</v>
      </c>
      <c r="D214" s="1" t="s">
        <v>12</v>
      </c>
      <c r="E214" s="32">
        <v>1330</v>
      </c>
      <c r="F214" s="32">
        <f t="shared" si="9"/>
        <v>2887143.4375068769</v>
      </c>
      <c r="G214" s="32"/>
      <c r="H214" s="33">
        <f t="shared" si="10"/>
        <v>1.2</v>
      </c>
      <c r="I214" s="32">
        <f t="shared" si="11"/>
        <v>659283.86124150117</v>
      </c>
      <c r="K214" s="2"/>
      <c r="N214" s="34"/>
    </row>
    <row r="215">
      <c r="A215" s="36">
        <v>45113</v>
      </c>
      <c r="D215" s="1" t="s">
        <v>12</v>
      </c>
      <c r="E215" s="32">
        <v>25500</v>
      </c>
      <c r="F215" s="32">
        <f t="shared" si="9"/>
        <v>2912643.4375068769</v>
      </c>
      <c r="G215" s="32"/>
      <c r="H215" s="33">
        <f t="shared" si="10"/>
        <v>1.2</v>
      </c>
      <c r="I215" s="32">
        <f t="shared" si="11"/>
        <v>627765.86124150117</v>
      </c>
      <c r="K215" s="32"/>
      <c r="L215" s="2"/>
      <c r="N215" s="34"/>
    </row>
    <row r="216">
      <c r="A216" s="36">
        <v>45118</v>
      </c>
      <c r="D216" s="1" t="s">
        <v>12</v>
      </c>
      <c r="E216" s="32">
        <f>815/7.75</f>
        <v>105.16129032258064</v>
      </c>
      <c r="F216" s="32">
        <f t="shared" si="9"/>
        <v>2912748.5987971993</v>
      </c>
      <c r="G216" s="32"/>
      <c r="H216" s="33">
        <f t="shared" si="10"/>
        <v>1.2</v>
      </c>
      <c r="I216" s="32">
        <f t="shared" si="11"/>
        <v>627635.88188666245</v>
      </c>
      <c r="K216" s="32"/>
      <c r="L216" s="2"/>
      <c r="N216" s="34"/>
    </row>
    <row r="217">
      <c r="A217" s="36">
        <v>45120</v>
      </c>
      <c r="D217" s="1" t="s">
        <v>12</v>
      </c>
      <c r="E217" s="32">
        <v>345</v>
      </c>
      <c r="F217" s="32">
        <f t="shared" si="9"/>
        <v>2913093.5987971993</v>
      </c>
      <c r="G217" s="32"/>
      <c r="H217" s="33">
        <f t="shared" si="10"/>
        <v>1.2</v>
      </c>
      <c r="I217" s="32">
        <f t="shared" si="11"/>
        <v>627209.46188666241</v>
      </c>
      <c r="K217" s="32"/>
      <c r="L217" s="2"/>
      <c r="N217" s="34"/>
    </row>
    <row r="218">
      <c r="A218" s="36">
        <v>45131</v>
      </c>
      <c r="D218" s="1" t="s">
        <v>12</v>
      </c>
      <c r="E218" s="32">
        <v>21052.799999999999</v>
      </c>
      <c r="F218" s="32">
        <f t="shared" si="9"/>
        <v>2934146.3987971991</v>
      </c>
      <c r="G218" s="32"/>
      <c r="H218" s="33">
        <f t="shared" si="10"/>
        <v>1.2</v>
      </c>
      <c r="I218" s="32">
        <f t="shared" si="11"/>
        <v>601188.20108666236</v>
      </c>
      <c r="K218" s="2"/>
      <c r="N218" s="34"/>
    </row>
    <row r="219">
      <c r="A219" s="36">
        <v>44952</v>
      </c>
      <c r="C219" s="37"/>
      <c r="D219" s="1"/>
      <c r="E219" s="32"/>
      <c r="F219" s="32">
        <f t="shared" si="9"/>
        <v>2934146.3987971991</v>
      </c>
      <c r="G219" s="32">
        <v>249981.64999999999</v>
      </c>
      <c r="H219" s="33">
        <f t="shared" si="10"/>
        <v>1.2</v>
      </c>
      <c r="I219" s="32">
        <f t="shared" si="11"/>
        <v>851169.85108666238</v>
      </c>
      <c r="K219" s="32"/>
      <c r="L219" s="2"/>
      <c r="N219" s="34"/>
    </row>
    <row r="220">
      <c r="A220" s="36">
        <v>45138</v>
      </c>
      <c r="D220" s="1" t="s">
        <v>12</v>
      </c>
      <c r="E220" s="32">
        <v>37514.400000000001</v>
      </c>
      <c r="F220" s="32">
        <f t="shared" si="9"/>
        <v>2971660.798797199</v>
      </c>
      <c r="G220" s="32"/>
      <c r="H220" s="33">
        <f t="shared" si="10"/>
        <v>1.2</v>
      </c>
      <c r="I220" s="32">
        <f t="shared" si="11"/>
        <v>804802.05268666241</v>
      </c>
      <c r="K220" s="32"/>
      <c r="L220" s="2"/>
      <c r="N220" s="34"/>
    </row>
    <row r="221">
      <c r="A221" s="36">
        <v>45138</v>
      </c>
      <c r="D221" s="1" t="s">
        <v>12</v>
      </c>
      <c r="E221" s="32">
        <v>31998.720000000001</v>
      </c>
      <c r="F221" s="32">
        <f t="shared" si="9"/>
        <v>3003659.5187971992</v>
      </c>
      <c r="G221" s="32"/>
      <c r="H221" s="33">
        <f t="shared" si="10"/>
        <v>1.2</v>
      </c>
      <c r="I221" s="32">
        <f t="shared" si="11"/>
        <v>765251.63476666238</v>
      </c>
      <c r="K221" s="32"/>
      <c r="L221" s="2"/>
      <c r="N221" s="34"/>
    </row>
    <row r="222">
      <c r="A222" s="36">
        <v>45138</v>
      </c>
      <c r="D222" s="1" t="s">
        <v>12</v>
      </c>
      <c r="E222" s="32">
        <v>22080</v>
      </c>
      <c r="F222" s="32">
        <f t="shared" si="9"/>
        <v>3025739.5187971992</v>
      </c>
      <c r="G222" s="32"/>
      <c r="H222" s="33">
        <f t="shared" si="10"/>
        <v>1.2</v>
      </c>
      <c r="I222" s="32">
        <f t="shared" si="11"/>
        <v>737960.75476666237</v>
      </c>
      <c r="K222" s="32"/>
      <c r="L222" s="2"/>
      <c r="N222" s="34"/>
    </row>
    <row r="223">
      <c r="A223" s="36">
        <v>45138</v>
      </c>
      <c r="D223" s="1" t="s">
        <v>12</v>
      </c>
      <c r="E223" s="32">
        <v>16560</v>
      </c>
      <c r="F223" s="32">
        <f t="shared" si="9"/>
        <v>3042299.5187971992</v>
      </c>
      <c r="G223" s="32"/>
      <c r="H223" s="33">
        <f t="shared" si="10"/>
        <v>1.2</v>
      </c>
      <c r="I223" s="32">
        <f t="shared" si="11"/>
        <v>717492.59476666234</v>
      </c>
      <c r="K223" s="32"/>
      <c r="L223" s="2"/>
      <c r="N223" s="34"/>
    </row>
    <row r="224">
      <c r="A224" s="36">
        <v>45138</v>
      </c>
      <c r="D224" s="1" t="s">
        <v>12</v>
      </c>
      <c r="E224" s="32">
        <v>108800</v>
      </c>
      <c r="F224" s="32">
        <f t="shared" si="9"/>
        <v>3151099.5187971992</v>
      </c>
      <c r="G224" s="32"/>
      <c r="H224" s="33">
        <f t="shared" si="10"/>
        <v>1.2</v>
      </c>
      <c r="I224" s="32">
        <f t="shared" si="11"/>
        <v>583015.79476666241</v>
      </c>
      <c r="K224" s="32"/>
      <c r="L224" s="2"/>
      <c r="N224" s="34"/>
    </row>
    <row r="225">
      <c r="A225" s="36">
        <v>45138</v>
      </c>
      <c r="D225" s="1" t="s">
        <v>12</v>
      </c>
      <c r="E225" s="32">
        <v>68000</v>
      </c>
      <c r="F225" s="32">
        <f t="shared" si="9"/>
        <v>3219099.5187971992</v>
      </c>
      <c r="G225" s="32"/>
      <c r="H225" s="33">
        <f t="shared" si="10"/>
        <v>1.2</v>
      </c>
      <c r="I225" s="32">
        <f t="shared" si="11"/>
        <v>498967.79476666241</v>
      </c>
      <c r="K225" s="2"/>
      <c r="N225" s="34"/>
    </row>
    <row r="226">
      <c r="A226" s="36">
        <v>45138</v>
      </c>
      <c r="D226" s="1" t="s">
        <v>12</v>
      </c>
      <c r="E226" s="32">
        <v>1643.9000000000001</v>
      </c>
      <c r="F226" s="32">
        <f t="shared" si="9"/>
        <v>3220743.4187971991</v>
      </c>
      <c r="G226" s="32"/>
      <c r="H226" s="33">
        <f t="shared" si="10"/>
        <v>1.2</v>
      </c>
      <c r="I226" s="32">
        <f t="shared" si="11"/>
        <v>496935.9343666624</v>
      </c>
      <c r="K226" s="2"/>
      <c r="N226" s="34"/>
    </row>
    <row r="227">
      <c r="A227" s="36">
        <v>45138</v>
      </c>
      <c r="D227" s="1" t="s">
        <v>12</v>
      </c>
      <c r="E227" s="32">
        <v>432</v>
      </c>
      <c r="F227" s="32">
        <f t="shared" si="9"/>
        <v>3221175.4187971991</v>
      </c>
      <c r="G227" s="32"/>
      <c r="H227" s="33">
        <f t="shared" si="10"/>
        <v>1.2</v>
      </c>
      <c r="I227" s="32">
        <f t="shared" si="11"/>
        <v>496401.98236666241</v>
      </c>
      <c r="K227" s="32"/>
      <c r="L227" s="2"/>
      <c r="N227" s="34"/>
    </row>
    <row r="228">
      <c r="A228" s="36">
        <v>45140</v>
      </c>
      <c r="C228" s="37"/>
      <c r="E228" s="32"/>
      <c r="F228" s="32">
        <f t="shared" ref="F228:F291" si="12">SUM($E$11:E228)</f>
        <v>3221175.4187971991</v>
      </c>
      <c r="G228" s="32">
        <v>181987.64000000001</v>
      </c>
      <c r="H228" s="33">
        <f t="shared" ref="H228:H291" si="13">IF(F228/$H$7&lt;50000,$N$1,IF(F228/$H$7&lt;100000,$N$2,IF(F228/$H$7&lt;150000,$N$3,IF(F228/$H$7&lt;200000,$N$4,IF(F228/$H$7&lt;250000,$N$5,$N$6)))))</f>
        <v>1.2</v>
      </c>
      <c r="I228" s="32">
        <f t="shared" si="11"/>
        <v>678389.62236666237</v>
      </c>
      <c r="K228" s="32"/>
      <c r="L228" s="2"/>
      <c r="N228" s="34"/>
    </row>
    <row r="229">
      <c r="A229" s="36">
        <v>45140</v>
      </c>
      <c r="C229" s="37"/>
      <c r="E229" s="32"/>
      <c r="F229" s="32">
        <f t="shared" si="12"/>
        <v>3221175.4187971991</v>
      </c>
      <c r="G229" s="32">
        <v>249981.64000000001</v>
      </c>
      <c r="H229" s="33">
        <f t="shared" si="13"/>
        <v>1.2</v>
      </c>
      <c r="I229" s="32">
        <f t="shared" ref="I229:I292" si="14">G229+I228-E229*IF(D229="P",1.03,1)*H229</f>
        <v>928371.26236666238</v>
      </c>
      <c r="K229" s="2"/>
      <c r="N229" s="34"/>
    </row>
    <row r="230">
      <c r="A230" s="36">
        <v>45142</v>
      </c>
      <c r="C230" s="37"/>
      <c r="E230" s="32"/>
      <c r="F230" s="32">
        <f t="shared" si="12"/>
        <v>3221175.4187971991</v>
      </c>
      <c r="G230" s="32">
        <v>249981.64999999999</v>
      </c>
      <c r="H230" s="33">
        <f t="shared" si="13"/>
        <v>1.2</v>
      </c>
      <c r="I230" s="32">
        <f t="shared" si="14"/>
        <v>1178352.9123666624</v>
      </c>
      <c r="K230" s="32"/>
      <c r="L230" s="2"/>
      <c r="N230" s="34"/>
    </row>
    <row r="231">
      <c r="A231" s="36">
        <v>45146</v>
      </c>
      <c r="D231" s="1" t="s">
        <v>12</v>
      </c>
      <c r="E231" s="32">
        <v>4810</v>
      </c>
      <c r="F231" s="32">
        <f t="shared" si="12"/>
        <v>3225985.4187971991</v>
      </c>
      <c r="G231" s="32"/>
      <c r="H231" s="33">
        <f t="shared" si="13"/>
        <v>1.2</v>
      </c>
      <c r="I231" s="32">
        <f t="shared" si="14"/>
        <v>1172407.7523666625</v>
      </c>
      <c r="K231" s="32"/>
      <c r="L231" s="2"/>
      <c r="N231" s="34"/>
    </row>
    <row r="232">
      <c r="A232" s="36">
        <v>45148</v>
      </c>
      <c r="D232" s="1" t="s">
        <v>12</v>
      </c>
      <c r="E232" s="32">
        <v>35402.32</v>
      </c>
      <c r="F232" s="32">
        <f t="shared" si="12"/>
        <v>3261387.738797199</v>
      </c>
      <c r="G232" s="32"/>
      <c r="H232" s="33">
        <f t="shared" si="13"/>
        <v>1.2</v>
      </c>
      <c r="I232" s="32">
        <f t="shared" si="14"/>
        <v>1128650.4848466625</v>
      </c>
      <c r="K232" s="32"/>
      <c r="L232" s="2"/>
      <c r="N232" s="34"/>
    </row>
    <row r="233">
      <c r="A233" s="36">
        <v>45151</v>
      </c>
      <c r="D233" s="1" t="s">
        <v>12</v>
      </c>
      <c r="E233" s="32">
        <v>260</v>
      </c>
      <c r="F233" s="32">
        <f t="shared" si="12"/>
        <v>3261647.738797199</v>
      </c>
      <c r="G233" s="32"/>
      <c r="H233" s="33">
        <f t="shared" si="13"/>
        <v>1.2</v>
      </c>
      <c r="I233" s="32">
        <f t="shared" si="14"/>
        <v>1128329.1248466624</v>
      </c>
      <c r="K233" s="2"/>
      <c r="N233" s="34"/>
    </row>
    <row r="234">
      <c r="A234" s="36">
        <v>45166</v>
      </c>
      <c r="D234" s="1" t="s">
        <v>12</v>
      </c>
      <c r="E234" s="32">
        <v>210</v>
      </c>
      <c r="F234" s="32">
        <f t="shared" si="12"/>
        <v>3261857.738797199</v>
      </c>
      <c r="G234" s="32"/>
      <c r="H234" s="33">
        <f t="shared" si="13"/>
        <v>1.2</v>
      </c>
      <c r="I234" s="32">
        <f t="shared" si="14"/>
        <v>1128069.5648466623</v>
      </c>
      <c r="K234" s="32"/>
      <c r="L234" s="2"/>
      <c r="N234" s="34"/>
    </row>
    <row r="235">
      <c r="A235" s="36">
        <v>45166</v>
      </c>
      <c r="D235" s="1" t="s">
        <v>12</v>
      </c>
      <c r="E235" s="32">
        <v>14400</v>
      </c>
      <c r="F235" s="32">
        <f t="shared" si="12"/>
        <v>3276257.738797199</v>
      </c>
      <c r="G235" s="32"/>
      <c r="H235" s="33">
        <f t="shared" si="13"/>
        <v>1.2</v>
      </c>
      <c r="I235" s="32">
        <f t="shared" si="14"/>
        <v>1110271.1648466624</v>
      </c>
      <c r="K235" s="32"/>
      <c r="L235" s="2"/>
      <c r="N235" s="34"/>
    </row>
    <row r="236">
      <c r="A236" s="36">
        <v>45166</v>
      </c>
      <c r="D236" s="1" t="s">
        <v>12</v>
      </c>
      <c r="E236" s="32">
        <v>191.28999999999999</v>
      </c>
      <c r="F236" s="32">
        <f t="shared" si="12"/>
        <v>3276449.028797199</v>
      </c>
      <c r="G236" s="32"/>
      <c r="H236" s="33">
        <f t="shared" si="13"/>
        <v>1.2</v>
      </c>
      <c r="I236" s="32">
        <f t="shared" si="14"/>
        <v>1110034.7304066624</v>
      </c>
      <c r="K236" s="2"/>
      <c r="N236" s="34"/>
    </row>
    <row r="237">
      <c r="A237" s="36">
        <v>45166</v>
      </c>
      <c r="D237" s="1" t="s">
        <v>12</v>
      </c>
      <c r="E237" s="32">
        <f>117964/7.75</f>
        <v>15221.161290322581</v>
      </c>
      <c r="F237" s="32">
        <f t="shared" si="12"/>
        <v>3291670.1900875214</v>
      </c>
      <c r="G237" s="32"/>
      <c r="H237" s="33">
        <f t="shared" si="13"/>
        <v>1.2</v>
      </c>
      <c r="I237" s="32">
        <f t="shared" si="14"/>
        <v>1091221.3750518237</v>
      </c>
      <c r="K237" s="32"/>
      <c r="L237" s="2"/>
      <c r="N237" s="34"/>
    </row>
    <row r="238">
      <c r="A238" s="36">
        <v>45167</v>
      </c>
      <c r="D238" s="1" t="s">
        <v>12</v>
      </c>
      <c r="E238" s="32">
        <f>34200/7.75</f>
        <v>4412.9032258064517</v>
      </c>
      <c r="F238" s="32">
        <f t="shared" si="12"/>
        <v>3296083.093313328</v>
      </c>
      <c r="G238" s="32"/>
      <c r="H238" s="33">
        <f t="shared" si="13"/>
        <v>1.2</v>
      </c>
      <c r="I238" s="32">
        <f t="shared" si="14"/>
        <v>1085767.0266647269</v>
      </c>
      <c r="K238" s="32"/>
      <c r="L238" s="2"/>
      <c r="N238" s="34"/>
    </row>
    <row r="239">
      <c r="A239" s="36">
        <v>45168</v>
      </c>
      <c r="D239" s="1" t="s">
        <v>12</v>
      </c>
      <c r="E239" s="32">
        <v>118.59999999999999</v>
      </c>
      <c r="F239" s="32">
        <f t="shared" si="12"/>
        <v>3296201.6933133281</v>
      </c>
      <c r="G239" s="32"/>
      <c r="H239" s="33">
        <f t="shared" si="13"/>
        <v>1.2</v>
      </c>
      <c r="I239" s="32">
        <f t="shared" si="14"/>
        <v>1085620.4370647268</v>
      </c>
      <c r="K239" s="32"/>
      <c r="L239" s="2"/>
      <c r="N239" s="34"/>
    </row>
    <row r="240">
      <c r="A240" s="36">
        <v>45168</v>
      </c>
      <c r="D240" s="1" t="s">
        <v>12</v>
      </c>
      <c r="E240" s="32">
        <v>140.24000000000001</v>
      </c>
      <c r="F240" s="32">
        <f t="shared" si="12"/>
        <v>3296341.9333133283</v>
      </c>
      <c r="G240" s="32"/>
      <c r="H240" s="33">
        <f t="shared" si="13"/>
        <v>1.2</v>
      </c>
      <c r="I240" s="32">
        <f t="shared" si="14"/>
        <v>1085447.1004247267</v>
      </c>
      <c r="K240" s="32"/>
      <c r="L240" s="2"/>
      <c r="N240" s="34"/>
    </row>
    <row r="241">
      <c r="A241" s="36">
        <v>45168</v>
      </c>
      <c r="D241" s="1" t="s">
        <v>12</v>
      </c>
      <c r="E241" s="32">
        <v>1811.9200000000001</v>
      </c>
      <c r="F241" s="32">
        <f t="shared" si="12"/>
        <v>3298153.8533133282</v>
      </c>
      <c r="G241" s="32"/>
      <c r="H241" s="33">
        <f t="shared" si="13"/>
        <v>1.2</v>
      </c>
      <c r="I241" s="32">
        <f t="shared" si="14"/>
        <v>1083207.5673047267</v>
      </c>
      <c r="K241" s="32"/>
      <c r="L241" s="2"/>
      <c r="N241" s="34"/>
    </row>
    <row r="242">
      <c r="A242" s="36">
        <v>45169</v>
      </c>
      <c r="D242" s="1" t="s">
        <v>12</v>
      </c>
      <c r="E242" s="32">
        <f>828+2003.2</f>
        <v>2831.1999999999998</v>
      </c>
      <c r="F242" s="32">
        <f t="shared" si="12"/>
        <v>3300985.0533133284</v>
      </c>
      <c r="G242" s="32"/>
      <c r="H242" s="33">
        <f t="shared" si="13"/>
        <v>1.2</v>
      </c>
      <c r="I242" s="32">
        <f t="shared" si="14"/>
        <v>1079708.2041047267</v>
      </c>
      <c r="K242" s="32"/>
      <c r="L242" s="2"/>
      <c r="N242" s="34"/>
    </row>
    <row r="243">
      <c r="A243" s="36">
        <v>45169</v>
      </c>
      <c r="D243" s="1" t="s">
        <v>12</v>
      </c>
      <c r="E243" s="32">
        <f>1400.6+173.1</f>
        <v>1573.6999999999998</v>
      </c>
      <c r="F243" s="32">
        <f t="shared" si="12"/>
        <v>3302558.7533133286</v>
      </c>
      <c r="G243" s="32"/>
      <c r="H243" s="33">
        <f t="shared" si="13"/>
        <v>1.2</v>
      </c>
      <c r="I243" s="32">
        <f t="shared" si="14"/>
        <v>1077763.1109047267</v>
      </c>
      <c r="K243" s="32"/>
      <c r="L243" s="2"/>
      <c r="N243" s="34"/>
    </row>
    <row r="244">
      <c r="A244" s="36">
        <v>45173</v>
      </c>
      <c r="D244" s="1" t="s">
        <v>12</v>
      </c>
      <c r="E244" s="32">
        <f>104310-6780</f>
        <v>97530</v>
      </c>
      <c r="F244" s="32">
        <f t="shared" si="12"/>
        <v>3400088.7533133286</v>
      </c>
      <c r="H244" s="33">
        <f t="shared" si="13"/>
        <v>1.2</v>
      </c>
      <c r="I244" s="32">
        <f t="shared" si="14"/>
        <v>957216.03090472671</v>
      </c>
      <c r="N244" s="34"/>
    </row>
    <row r="245">
      <c r="A245" s="36">
        <v>45173</v>
      </c>
      <c r="D245" s="1" t="s">
        <v>12</v>
      </c>
      <c r="E245" s="32">
        <v>6780</v>
      </c>
      <c r="F245" s="32">
        <f t="shared" si="12"/>
        <v>3406868.7533133286</v>
      </c>
      <c r="G245" s="32"/>
      <c r="H245" s="33">
        <f t="shared" si="13"/>
        <v>1.2</v>
      </c>
      <c r="I245" s="32">
        <f t="shared" si="14"/>
        <v>948835.95090472675</v>
      </c>
      <c r="K245" s="32"/>
      <c r="L245" s="2"/>
      <c r="N245" s="34"/>
    </row>
    <row r="246">
      <c r="A246" s="36">
        <v>45173</v>
      </c>
      <c r="D246" s="1" t="s">
        <v>12</v>
      </c>
      <c r="E246" s="32">
        <v>6000</v>
      </c>
      <c r="F246" s="32">
        <f t="shared" si="12"/>
        <v>3412868.7533133286</v>
      </c>
      <c r="G246" s="32"/>
      <c r="H246" s="33">
        <f t="shared" si="13"/>
        <v>1.2</v>
      </c>
      <c r="I246" s="32">
        <f t="shared" si="14"/>
        <v>941419.95090472675</v>
      </c>
      <c r="K246" s="32"/>
      <c r="L246" s="2"/>
      <c r="N246" s="34"/>
    </row>
    <row r="247">
      <c r="A247" s="36">
        <v>45173</v>
      </c>
      <c r="D247" s="1" t="s">
        <v>12</v>
      </c>
      <c r="E247" s="32">
        <v>16700</v>
      </c>
      <c r="F247" s="32">
        <f t="shared" si="12"/>
        <v>3429568.7533133286</v>
      </c>
      <c r="G247" s="32"/>
      <c r="H247" s="33">
        <f t="shared" si="13"/>
        <v>1.2</v>
      </c>
      <c r="I247" s="32">
        <f t="shared" si="14"/>
        <v>920778.7509047268</v>
      </c>
      <c r="K247" s="2"/>
      <c r="N247" s="34"/>
    </row>
    <row r="248">
      <c r="A248" s="36">
        <v>45173</v>
      </c>
      <c r="D248" s="1" t="s">
        <v>12</v>
      </c>
      <c r="E248" s="32">
        <v>10948</v>
      </c>
      <c r="F248" s="32">
        <f t="shared" si="12"/>
        <v>3440516.7533133286</v>
      </c>
      <c r="G248" s="32"/>
      <c r="H248" s="33">
        <f t="shared" si="13"/>
        <v>1.2</v>
      </c>
      <c r="I248" s="32">
        <f t="shared" si="14"/>
        <v>907247.02290472679</v>
      </c>
      <c r="K248" s="2"/>
      <c r="N248" s="34"/>
    </row>
    <row r="249">
      <c r="A249" s="36">
        <v>45173</v>
      </c>
      <c r="D249" s="1" t="s">
        <v>12</v>
      </c>
      <c r="E249" s="32">
        <v>8721.2199999999993</v>
      </c>
      <c r="F249" s="32">
        <f t="shared" si="12"/>
        <v>3449237.9733133288</v>
      </c>
      <c r="G249" s="32"/>
      <c r="H249" s="33">
        <f t="shared" si="13"/>
        <v>1.2</v>
      </c>
      <c r="I249" s="32">
        <f t="shared" si="14"/>
        <v>896467.59498472675</v>
      </c>
      <c r="K249" s="32"/>
      <c r="L249" s="2"/>
      <c r="N249" s="34"/>
    </row>
    <row r="250">
      <c r="A250" s="36">
        <v>45173</v>
      </c>
      <c r="D250" s="1" t="s">
        <v>12</v>
      </c>
      <c r="E250" s="32">
        <v>4404.8999999999996</v>
      </c>
      <c r="F250" s="32">
        <f t="shared" si="12"/>
        <v>3453642.8733133287</v>
      </c>
      <c r="G250" s="32"/>
      <c r="H250" s="33">
        <f t="shared" si="13"/>
        <v>1.2</v>
      </c>
      <c r="I250" s="32">
        <f t="shared" si="14"/>
        <v>891023.13858472672</v>
      </c>
      <c r="J250" t="s">
        <v>25</v>
      </c>
      <c r="K250" s="2"/>
      <c r="N250" s="34"/>
    </row>
    <row r="251">
      <c r="A251" s="36">
        <v>45178</v>
      </c>
      <c r="D251" s="1" t="s">
        <v>12</v>
      </c>
      <c r="E251" s="32">
        <v>8508.0799999999999</v>
      </c>
      <c r="F251" s="32">
        <f t="shared" si="12"/>
        <v>3462150.9533133288</v>
      </c>
      <c r="G251" s="32"/>
      <c r="H251" s="33">
        <f t="shared" si="13"/>
        <v>1.2</v>
      </c>
      <c r="I251" s="32">
        <f t="shared" si="14"/>
        <v>880507.15170472674</v>
      </c>
      <c r="K251" s="32"/>
      <c r="L251" s="2"/>
      <c r="N251" s="34"/>
    </row>
    <row r="252">
      <c r="A252" s="36">
        <v>45178</v>
      </c>
      <c r="D252" s="1" t="s">
        <v>12</v>
      </c>
      <c r="E252" s="32">
        <v>5625</v>
      </c>
      <c r="F252" s="32">
        <f t="shared" si="12"/>
        <v>3467775.9533133288</v>
      </c>
      <c r="G252" s="32"/>
      <c r="H252" s="33">
        <f t="shared" si="13"/>
        <v>1.2</v>
      </c>
      <c r="I252" s="32">
        <f t="shared" si="14"/>
        <v>873554.65170472674</v>
      </c>
      <c r="K252" s="32"/>
      <c r="L252" s="2"/>
      <c r="N252" s="34"/>
    </row>
    <row r="253">
      <c r="A253" s="36">
        <v>45178</v>
      </c>
      <c r="D253" s="1" t="s">
        <v>12</v>
      </c>
      <c r="E253" s="32">
        <v>82800</v>
      </c>
      <c r="F253" s="32">
        <f t="shared" si="12"/>
        <v>3550575.9533133288</v>
      </c>
      <c r="G253" s="32"/>
      <c r="H253" s="33">
        <f t="shared" si="13"/>
        <v>1.2</v>
      </c>
      <c r="I253" s="32">
        <f t="shared" si="14"/>
        <v>771213.85170472669</v>
      </c>
      <c r="K253" s="2"/>
      <c r="L253" s="2"/>
      <c r="N253" s="34"/>
    </row>
    <row r="254">
      <c r="A254" s="36">
        <v>45182</v>
      </c>
      <c r="D254" s="1" t="s">
        <v>12</v>
      </c>
      <c r="E254" s="32">
        <v>25500</v>
      </c>
      <c r="F254" s="32">
        <f t="shared" si="12"/>
        <v>3576075.9533133288</v>
      </c>
      <c r="G254" s="32"/>
      <c r="H254" s="33">
        <f t="shared" si="13"/>
        <v>1.2</v>
      </c>
      <c r="I254" s="32">
        <f t="shared" si="14"/>
        <v>739695.85170472669</v>
      </c>
      <c r="K254" s="2"/>
      <c r="N254" s="34"/>
    </row>
    <row r="255">
      <c r="A255" s="36">
        <v>45182</v>
      </c>
      <c r="D255" s="1" t="s">
        <v>12</v>
      </c>
      <c r="E255" s="32">
        <v>1546</v>
      </c>
      <c r="F255" s="32">
        <f t="shared" si="12"/>
        <v>3577621.9533133288</v>
      </c>
      <c r="G255" s="32"/>
      <c r="H255" s="33">
        <f t="shared" si="13"/>
        <v>1.2</v>
      </c>
      <c r="I255" s="32">
        <f t="shared" si="14"/>
        <v>737784.99570472667</v>
      </c>
      <c r="K255" s="32"/>
      <c r="L255" s="2"/>
      <c r="N255" s="34"/>
    </row>
    <row r="256">
      <c r="A256" s="36">
        <v>45182</v>
      </c>
      <c r="D256" s="1" t="s">
        <v>12</v>
      </c>
      <c r="E256" s="32">
        <v>336</v>
      </c>
      <c r="F256" s="32">
        <f t="shared" si="12"/>
        <v>3577957.9533133288</v>
      </c>
      <c r="G256" s="32"/>
      <c r="H256" s="33">
        <f t="shared" si="13"/>
        <v>1.2</v>
      </c>
      <c r="I256" s="32">
        <f t="shared" si="14"/>
        <v>737369.69970472669</v>
      </c>
      <c r="K256" s="2"/>
      <c r="L256" s="2"/>
      <c r="N256" s="34"/>
    </row>
    <row r="257">
      <c r="A257" s="36">
        <v>45187</v>
      </c>
      <c r="E257" s="32">
        <v>10000</v>
      </c>
      <c r="F257" s="32">
        <f t="shared" si="12"/>
        <v>3587957.9533133288</v>
      </c>
      <c r="G257" s="32"/>
      <c r="H257" s="33">
        <f t="shared" si="13"/>
        <v>1.2</v>
      </c>
      <c r="I257" s="32">
        <f t="shared" si="14"/>
        <v>725369.69970472669</v>
      </c>
      <c r="K257" s="32"/>
      <c r="L257" s="2"/>
      <c r="N257" s="34"/>
    </row>
    <row r="258">
      <c r="A258" s="36">
        <v>45189</v>
      </c>
      <c r="D258" s="1" t="s">
        <v>12</v>
      </c>
      <c r="E258" s="32">
        <v>4950</v>
      </c>
      <c r="F258" s="32">
        <f t="shared" si="12"/>
        <v>3592907.9533133288</v>
      </c>
      <c r="G258" s="32"/>
      <c r="H258" s="33">
        <f t="shared" si="13"/>
        <v>1.2</v>
      </c>
      <c r="I258" s="32">
        <f t="shared" si="14"/>
        <v>719251.49970472674</v>
      </c>
      <c r="K258" s="32"/>
      <c r="L258" s="2"/>
      <c r="N258" s="34"/>
    </row>
    <row r="259">
      <c r="A259" s="36">
        <v>45190</v>
      </c>
      <c r="D259" s="1" t="s">
        <v>12</v>
      </c>
      <c r="E259" s="32">
        <v>83548.929999999993</v>
      </c>
      <c r="F259" s="32">
        <f t="shared" si="12"/>
        <v>3676456.883313329</v>
      </c>
      <c r="G259" s="32"/>
      <c r="H259" s="33">
        <f t="shared" si="13"/>
        <v>1.2</v>
      </c>
      <c r="I259" s="32">
        <f t="shared" si="14"/>
        <v>615985.02222472674</v>
      </c>
      <c r="K259" s="32"/>
      <c r="L259" s="2"/>
      <c r="N259" s="34"/>
    </row>
    <row r="260">
      <c r="A260" s="36">
        <v>45191</v>
      </c>
      <c r="D260" s="1" t="s">
        <v>12</v>
      </c>
      <c r="E260" s="32">
        <f>51168/7.8</f>
        <v>6560</v>
      </c>
      <c r="F260" s="32">
        <f t="shared" si="12"/>
        <v>3683016.883313329</v>
      </c>
      <c r="G260" s="32"/>
      <c r="H260" s="33">
        <f t="shared" si="13"/>
        <v>1.2</v>
      </c>
      <c r="I260" s="32">
        <f t="shared" si="14"/>
        <v>607876.8622247267</v>
      </c>
      <c r="K260" s="32"/>
      <c r="L260" s="2"/>
      <c r="N260" s="34"/>
    </row>
    <row r="261">
      <c r="A261" s="36">
        <v>45195</v>
      </c>
      <c r="D261" s="1" t="s">
        <v>12</v>
      </c>
      <c r="E261" s="32">
        <v>1360</v>
      </c>
      <c r="F261" s="32">
        <f t="shared" si="12"/>
        <v>3684376.883313329</v>
      </c>
      <c r="G261" s="32"/>
      <c r="H261" s="33">
        <f t="shared" si="13"/>
        <v>1.2</v>
      </c>
      <c r="I261" s="32">
        <f t="shared" si="14"/>
        <v>606195.90222472674</v>
      </c>
      <c r="K261" s="32"/>
      <c r="L261" s="2"/>
      <c r="N261" s="34"/>
    </row>
    <row r="262">
      <c r="A262" s="36">
        <v>45195</v>
      </c>
      <c r="D262" s="1" t="s">
        <v>12</v>
      </c>
      <c r="E262" s="32">
        <v>652.79999999999995</v>
      </c>
      <c r="F262" s="32">
        <f t="shared" si="12"/>
        <v>3685029.6833133288</v>
      </c>
      <c r="G262" s="32"/>
      <c r="H262" s="33">
        <f t="shared" si="13"/>
        <v>1.2</v>
      </c>
      <c r="I262" s="32">
        <f t="shared" si="14"/>
        <v>605389.04142472672</v>
      </c>
      <c r="K262" s="32"/>
      <c r="L262" s="2"/>
      <c r="N262" s="34"/>
    </row>
    <row r="263">
      <c r="A263" s="36">
        <v>45195</v>
      </c>
      <c r="D263" s="1" t="s">
        <v>12</v>
      </c>
      <c r="E263" s="32">
        <v>39500</v>
      </c>
      <c r="F263" s="32">
        <f t="shared" si="12"/>
        <v>3724529.6833133288</v>
      </c>
      <c r="G263" s="32"/>
      <c r="H263" s="33">
        <f t="shared" si="13"/>
        <v>1.2</v>
      </c>
      <c r="I263" s="32">
        <f t="shared" si="14"/>
        <v>556567.04142472672</v>
      </c>
      <c r="K263" s="32"/>
      <c r="L263" s="2"/>
      <c r="N263" s="34"/>
    </row>
    <row r="264">
      <c r="A264" s="36">
        <v>45195</v>
      </c>
      <c r="D264" s="1" t="s">
        <v>12</v>
      </c>
      <c r="E264" s="32">
        <v>14480</v>
      </c>
      <c r="F264" s="32">
        <f t="shared" si="12"/>
        <v>3739009.6833133288</v>
      </c>
      <c r="G264" s="32"/>
      <c r="H264" s="33">
        <f t="shared" si="13"/>
        <v>1.2</v>
      </c>
      <c r="I264" s="32">
        <f t="shared" si="14"/>
        <v>538669.76142472669</v>
      </c>
      <c r="K264" s="32"/>
      <c r="L264" s="2"/>
      <c r="N264" s="34"/>
    </row>
    <row r="265">
      <c r="A265" s="36">
        <v>45195</v>
      </c>
      <c r="D265" s="1" t="s">
        <v>12</v>
      </c>
      <c r="E265" s="32">
        <v>312</v>
      </c>
      <c r="F265" s="32">
        <f t="shared" si="12"/>
        <v>3739321.6833133288</v>
      </c>
      <c r="G265" s="32"/>
      <c r="H265" s="33">
        <f t="shared" si="13"/>
        <v>1.2</v>
      </c>
      <c r="I265" s="32">
        <f t="shared" si="14"/>
        <v>538284.12942472671</v>
      </c>
      <c r="K265" s="32"/>
      <c r="L265" s="2"/>
      <c r="N265" s="34"/>
    </row>
    <row r="266">
      <c r="A266" s="36">
        <v>45195</v>
      </c>
      <c r="D266" s="1" t="s">
        <v>12</v>
      </c>
      <c r="E266" s="32">
        <v>43917.550000000003</v>
      </c>
      <c r="F266" s="32">
        <f t="shared" si="12"/>
        <v>3783239.2333133286</v>
      </c>
      <c r="G266" s="32"/>
      <c r="H266" s="33">
        <f t="shared" si="13"/>
        <v>1.2</v>
      </c>
      <c r="I266" s="32">
        <f t="shared" si="14"/>
        <v>484002.03762472671</v>
      </c>
      <c r="K266" s="32"/>
      <c r="L266" s="2"/>
      <c r="N266" s="34"/>
    </row>
    <row r="267">
      <c r="A267" s="36">
        <v>45195</v>
      </c>
      <c r="D267" s="1" t="s">
        <v>12</v>
      </c>
      <c r="E267" s="32">
        <v>35.420000000000002</v>
      </c>
      <c r="F267" s="32">
        <f t="shared" si="12"/>
        <v>3783274.6533133285</v>
      </c>
      <c r="G267" s="32"/>
      <c r="H267" s="33">
        <f t="shared" si="13"/>
        <v>1.2</v>
      </c>
      <c r="I267" s="32">
        <f t="shared" si="14"/>
        <v>483958.25850472669</v>
      </c>
      <c r="K267" s="32"/>
      <c r="L267" s="2"/>
      <c r="N267" s="34"/>
    </row>
    <row r="268">
      <c r="A268" s="36">
        <v>45197</v>
      </c>
      <c r="D268" s="1" t="s">
        <v>12</v>
      </c>
      <c r="E268" s="32">
        <v>720</v>
      </c>
      <c r="F268" s="32">
        <f t="shared" si="12"/>
        <v>3783994.6533133285</v>
      </c>
      <c r="G268" s="32"/>
      <c r="H268" s="33">
        <f t="shared" si="13"/>
        <v>1.2</v>
      </c>
      <c r="I268" s="32">
        <f t="shared" si="14"/>
        <v>483068.33850472671</v>
      </c>
      <c r="K268" s="32"/>
      <c r="L268" s="2"/>
      <c r="N268" s="34"/>
    </row>
    <row r="269">
      <c r="A269" s="36">
        <v>45197</v>
      </c>
      <c r="E269" s="32">
        <v>273.89999999999998</v>
      </c>
      <c r="F269" s="32">
        <f t="shared" si="12"/>
        <v>3784268.5533133284</v>
      </c>
      <c r="G269" s="32"/>
      <c r="H269" s="33">
        <f t="shared" si="13"/>
        <v>1.2</v>
      </c>
      <c r="I269" s="32">
        <f t="shared" si="14"/>
        <v>482739.65850472671</v>
      </c>
      <c r="K269" s="32"/>
      <c r="L269" s="2"/>
      <c r="N269" s="34"/>
    </row>
    <row r="270">
      <c r="A270" s="36">
        <v>45198</v>
      </c>
      <c r="D270" s="1" t="s">
        <v>12</v>
      </c>
      <c r="E270" s="32">
        <v>6000</v>
      </c>
      <c r="F270" s="32">
        <f t="shared" si="12"/>
        <v>3790268.5533133284</v>
      </c>
      <c r="H270" s="33">
        <f t="shared" si="13"/>
        <v>1.2</v>
      </c>
      <c r="I270" s="32">
        <f t="shared" si="14"/>
        <v>475323.65850472671</v>
      </c>
      <c r="K270" s="2"/>
      <c r="L270" s="2"/>
      <c r="N270" s="34"/>
    </row>
    <row r="271">
      <c r="A271" s="36">
        <v>45204</v>
      </c>
      <c r="D271" s="1" t="s">
        <v>12</v>
      </c>
      <c r="E271" s="32">
        <v>33.829999999999998</v>
      </c>
      <c r="F271" s="32">
        <f t="shared" si="12"/>
        <v>3790302.3833133285</v>
      </c>
      <c r="G271" s="32"/>
      <c r="H271" s="33">
        <f t="shared" si="13"/>
        <v>1.2</v>
      </c>
      <c r="I271" s="32">
        <f t="shared" si="14"/>
        <v>475281.84462472674</v>
      </c>
      <c r="K271" s="32"/>
      <c r="L271" s="2"/>
      <c r="N271" s="34"/>
    </row>
    <row r="272">
      <c r="A272" s="36">
        <v>45204</v>
      </c>
      <c r="D272" s="1" t="s">
        <v>12</v>
      </c>
      <c r="E272" s="32">
        <v>3868.2399999999998</v>
      </c>
      <c r="F272" s="32">
        <f t="shared" si="12"/>
        <v>3794170.6233133287</v>
      </c>
      <c r="G272" s="32"/>
      <c r="H272" s="33">
        <f t="shared" si="13"/>
        <v>1.2</v>
      </c>
      <c r="I272" s="32">
        <f t="shared" si="14"/>
        <v>470500.69998472673</v>
      </c>
      <c r="K272" s="32"/>
      <c r="L272" s="2"/>
      <c r="N272" s="34"/>
    </row>
    <row r="273">
      <c r="A273" s="36">
        <v>45207</v>
      </c>
      <c r="D273" s="1" t="s">
        <v>12</v>
      </c>
      <c r="E273" s="32">
        <v>452.23000000000002</v>
      </c>
      <c r="F273" s="32">
        <f t="shared" si="12"/>
        <v>3794622.8533133287</v>
      </c>
      <c r="G273" s="32"/>
      <c r="H273" s="33">
        <f t="shared" si="13"/>
        <v>1.2</v>
      </c>
      <c r="I273" s="32">
        <f t="shared" si="14"/>
        <v>469941.74370472674</v>
      </c>
      <c r="K273" s="32"/>
      <c r="L273" s="2"/>
      <c r="N273" s="34"/>
    </row>
    <row r="274">
      <c r="A274" s="36">
        <v>45208</v>
      </c>
      <c r="D274" s="1" t="s">
        <v>12</v>
      </c>
      <c r="E274" s="32">
        <v>183.22999999999999</v>
      </c>
      <c r="F274" s="32">
        <f t="shared" si="12"/>
        <v>3794806.0833133287</v>
      </c>
      <c r="G274" s="32"/>
      <c r="H274" s="33">
        <f t="shared" si="13"/>
        <v>1.2</v>
      </c>
      <c r="I274" s="32">
        <f t="shared" si="14"/>
        <v>469715.27142472676</v>
      </c>
      <c r="K274" s="32"/>
      <c r="L274" s="2"/>
      <c r="N274" s="34"/>
    </row>
    <row r="275">
      <c r="A275" s="36">
        <v>45209</v>
      </c>
      <c r="D275" s="1" t="s">
        <v>12</v>
      </c>
      <c r="E275" s="32">
        <v>245.78999999999999</v>
      </c>
      <c r="F275" s="32">
        <f t="shared" si="12"/>
        <v>3795051.8733133287</v>
      </c>
      <c r="G275" s="32"/>
      <c r="H275" s="33">
        <f t="shared" si="13"/>
        <v>1.2</v>
      </c>
      <c r="I275" s="32">
        <f t="shared" si="14"/>
        <v>469411.47498472675</v>
      </c>
      <c r="K275" s="32"/>
      <c r="L275" s="2"/>
      <c r="N275" s="34"/>
    </row>
    <row r="276">
      <c r="A276" s="36">
        <v>45210</v>
      </c>
      <c r="D276" s="1" t="s">
        <v>12</v>
      </c>
      <c r="E276" s="32">
        <v>5555</v>
      </c>
      <c r="F276" s="32">
        <f t="shared" si="12"/>
        <v>3800606.8733133287</v>
      </c>
      <c r="G276" s="32"/>
      <c r="H276" s="33">
        <f t="shared" si="13"/>
        <v>1.2</v>
      </c>
      <c r="I276" s="32">
        <f t="shared" si="14"/>
        <v>462545.49498472677</v>
      </c>
      <c r="K276" s="32"/>
      <c r="L276" s="2"/>
      <c r="N276" s="34"/>
    </row>
    <row r="277">
      <c r="A277" s="36">
        <v>45211</v>
      </c>
      <c r="D277" s="1" t="s">
        <v>12</v>
      </c>
      <c r="E277" s="32">
        <v>1500</v>
      </c>
      <c r="F277" s="32">
        <f t="shared" si="12"/>
        <v>3802106.8733133287</v>
      </c>
      <c r="G277" s="32"/>
      <c r="H277" s="33">
        <f t="shared" si="13"/>
        <v>1.2</v>
      </c>
      <c r="I277" s="32">
        <f t="shared" si="14"/>
        <v>460691.49498472677</v>
      </c>
      <c r="K277" s="32"/>
      <c r="L277" s="2"/>
      <c r="N277" s="34"/>
    </row>
    <row r="278">
      <c r="A278" s="36">
        <v>45211</v>
      </c>
      <c r="D278" s="1" t="s">
        <v>12</v>
      </c>
      <c r="E278" s="32">
        <v>2205</v>
      </c>
      <c r="F278" s="32">
        <f t="shared" si="12"/>
        <v>3804311.8733133287</v>
      </c>
      <c r="G278" s="32"/>
      <c r="H278" s="33">
        <f t="shared" si="13"/>
        <v>1.2</v>
      </c>
      <c r="I278" s="32">
        <f t="shared" si="14"/>
        <v>457966.11498472677</v>
      </c>
      <c r="K278" s="32"/>
      <c r="L278" s="2"/>
      <c r="N278" s="34"/>
    </row>
    <row r="279">
      <c r="A279" s="36">
        <v>45211</v>
      </c>
      <c r="D279" s="1" t="s">
        <v>12</v>
      </c>
      <c r="E279" s="32">
        <v>561.60000000000002</v>
      </c>
      <c r="F279" s="32">
        <f t="shared" si="12"/>
        <v>3804873.4733133288</v>
      </c>
      <c r="G279" s="32"/>
      <c r="H279" s="33">
        <f t="shared" si="13"/>
        <v>1.2</v>
      </c>
      <c r="I279" s="32">
        <f t="shared" si="14"/>
        <v>457271.97738472675</v>
      </c>
      <c r="K279" s="32"/>
      <c r="L279" s="2"/>
      <c r="N279" s="34"/>
    </row>
    <row r="280">
      <c r="A280" s="36">
        <v>45216</v>
      </c>
      <c r="D280" s="1" t="s">
        <v>12</v>
      </c>
      <c r="E280">
        <v>1386.8199999999999</v>
      </c>
      <c r="F280" s="32">
        <f t="shared" si="12"/>
        <v>3806260.2933133286</v>
      </c>
      <c r="H280" s="33">
        <f t="shared" si="13"/>
        <v>1.2</v>
      </c>
      <c r="I280" s="32">
        <f t="shared" si="14"/>
        <v>455557.86786472675</v>
      </c>
      <c r="K280" s="32"/>
      <c r="L280" s="2"/>
      <c r="N280" s="34"/>
    </row>
    <row r="281">
      <c r="A281" s="36">
        <v>45219</v>
      </c>
      <c r="D281" s="1" t="s">
        <v>12</v>
      </c>
      <c r="E281" s="32">
        <v>15167.4</v>
      </c>
      <c r="F281" s="32">
        <f t="shared" si="12"/>
        <v>3821427.6933133285</v>
      </c>
      <c r="G281" s="32"/>
      <c r="H281" s="33">
        <f t="shared" si="13"/>
        <v>1.2</v>
      </c>
      <c r="I281" s="32">
        <f t="shared" si="14"/>
        <v>436810.96146472677</v>
      </c>
      <c r="K281" s="2"/>
      <c r="L281" s="2"/>
      <c r="N281" s="34"/>
    </row>
    <row r="282">
      <c r="A282" s="36">
        <v>45219</v>
      </c>
      <c r="D282" s="1" t="s">
        <v>12</v>
      </c>
      <c r="E282" s="32">
        <v>5055.8000000000002</v>
      </c>
      <c r="F282" s="32">
        <f t="shared" si="12"/>
        <v>3826483.4933133284</v>
      </c>
      <c r="G282" s="32"/>
      <c r="H282" s="33">
        <f t="shared" si="13"/>
        <v>1.2</v>
      </c>
      <c r="I282" s="32">
        <f t="shared" si="14"/>
        <v>430561.9926647268</v>
      </c>
      <c r="K282" s="2"/>
      <c r="N282" s="34"/>
    </row>
    <row r="283">
      <c r="A283" s="36">
        <v>45223</v>
      </c>
      <c r="D283" s="1" t="s">
        <v>12</v>
      </c>
      <c r="E283" s="32">
        <v>5055.8000000000002</v>
      </c>
      <c r="F283" s="32">
        <f t="shared" si="12"/>
        <v>3831539.2933133282</v>
      </c>
      <c r="G283" s="32"/>
      <c r="H283" s="33">
        <f t="shared" si="13"/>
        <v>1.2</v>
      </c>
      <c r="I283" s="32">
        <f t="shared" si="14"/>
        <v>424313.02386472683</v>
      </c>
      <c r="K283" s="32"/>
      <c r="L283" s="2"/>
      <c r="N283" s="34"/>
    </row>
    <row r="284">
      <c r="A284" s="36">
        <v>45223</v>
      </c>
      <c r="D284" s="1" t="s">
        <v>12</v>
      </c>
      <c r="E284" s="32">
        <v>61.299999999999997</v>
      </c>
      <c r="F284" s="32">
        <f t="shared" si="12"/>
        <v>3831600.593313328</v>
      </c>
      <c r="G284" s="32"/>
      <c r="H284" s="33">
        <f t="shared" si="13"/>
        <v>1.2</v>
      </c>
      <c r="I284" s="32">
        <f t="shared" si="14"/>
        <v>424237.25706472684</v>
      </c>
      <c r="K284" s="32"/>
      <c r="L284" s="2"/>
      <c r="N284" s="34"/>
    </row>
    <row r="285">
      <c r="A285" s="36">
        <v>45226</v>
      </c>
      <c r="D285" s="1" t="s">
        <v>12</v>
      </c>
      <c r="E285" s="32">
        <v>599.60000000000002</v>
      </c>
      <c r="F285" s="32">
        <f t="shared" si="12"/>
        <v>3832200.1933133281</v>
      </c>
      <c r="G285" s="32"/>
      <c r="H285" s="33">
        <f t="shared" si="13"/>
        <v>1.2</v>
      </c>
      <c r="I285" s="32">
        <f t="shared" si="14"/>
        <v>423496.15146472683</v>
      </c>
      <c r="K285" s="32"/>
      <c r="L285" s="2"/>
      <c r="N285" s="34"/>
    </row>
    <row r="286">
      <c r="A286" s="36">
        <v>45233</v>
      </c>
      <c r="D286" s="1" t="s">
        <v>12</v>
      </c>
      <c r="E286" s="32">
        <f>11451.39+1440.9</f>
        <v>12892.289999999999</v>
      </c>
      <c r="F286" s="32">
        <f t="shared" si="12"/>
        <v>3845092.4833133281</v>
      </c>
      <c r="G286" s="32"/>
      <c r="H286" s="33">
        <f t="shared" si="13"/>
        <v>1.2</v>
      </c>
      <c r="I286" s="32">
        <f t="shared" si="14"/>
        <v>407561.28102472681</v>
      </c>
      <c r="K286" s="32"/>
      <c r="L286" s="2"/>
      <c r="N286" s="34"/>
    </row>
    <row r="287">
      <c r="A287" s="36">
        <v>45235</v>
      </c>
      <c r="D287" s="1" t="s">
        <v>12</v>
      </c>
      <c r="E287" s="32">
        <v>162.63</v>
      </c>
      <c r="F287" s="32">
        <f t="shared" si="12"/>
        <v>3845255.113313328</v>
      </c>
      <c r="G287" s="32"/>
      <c r="H287" s="33">
        <f t="shared" si="13"/>
        <v>1.2</v>
      </c>
      <c r="I287" s="32">
        <f t="shared" si="14"/>
        <v>407360.2703447268</v>
      </c>
      <c r="K287" s="32"/>
      <c r="L287" s="2"/>
      <c r="N287" s="34"/>
    </row>
    <row r="288">
      <c r="A288" s="36">
        <v>45238</v>
      </c>
      <c r="D288" s="1" t="s">
        <v>12</v>
      </c>
      <c r="E288" s="32">
        <v>30492</v>
      </c>
      <c r="F288" s="32">
        <f t="shared" si="12"/>
        <v>3875747.113313328</v>
      </c>
      <c r="G288" s="32"/>
      <c r="H288" s="33">
        <f t="shared" si="13"/>
        <v>1.2</v>
      </c>
      <c r="I288" s="32">
        <f t="shared" si="14"/>
        <v>369672.15834472678</v>
      </c>
      <c r="K288" s="32"/>
      <c r="L288" s="2"/>
      <c r="N288" s="34"/>
    </row>
    <row r="289">
      <c r="A289" s="36">
        <v>45240</v>
      </c>
      <c r="D289" s="1" t="s">
        <v>12</v>
      </c>
      <c r="E289" s="32">
        <v>19500</v>
      </c>
      <c r="F289" s="32">
        <f t="shared" si="12"/>
        <v>3895247.113313328</v>
      </c>
      <c r="G289" s="32"/>
      <c r="H289" s="33">
        <f t="shared" si="13"/>
        <v>1.2</v>
      </c>
      <c r="I289" s="32">
        <f t="shared" si="14"/>
        <v>345570.15834472678</v>
      </c>
      <c r="K289" s="2"/>
      <c r="N289" s="34"/>
    </row>
    <row r="290">
      <c r="A290" s="36">
        <v>45260</v>
      </c>
      <c r="D290" s="1" t="s">
        <v>12</v>
      </c>
      <c r="E290" s="32">
        <v>66300</v>
      </c>
      <c r="F290" s="32">
        <f t="shared" si="12"/>
        <v>3961547.113313328</v>
      </c>
      <c r="G290" s="32"/>
      <c r="H290" s="33">
        <f t="shared" si="13"/>
        <v>1.2</v>
      </c>
      <c r="I290" s="32">
        <f t="shared" si="14"/>
        <v>263623.35834472679</v>
      </c>
      <c r="K290" s="32"/>
      <c r="L290" s="2"/>
      <c r="N290" s="34"/>
    </row>
    <row r="291">
      <c r="A291" s="36">
        <v>45244</v>
      </c>
      <c r="D291" s="1" t="s">
        <v>12</v>
      </c>
      <c r="E291" s="32">
        <v>7800</v>
      </c>
      <c r="F291" s="32">
        <f t="shared" si="12"/>
        <v>3969347.113313328</v>
      </c>
      <c r="G291" s="32"/>
      <c r="H291" s="33">
        <f t="shared" si="13"/>
        <v>1.2</v>
      </c>
      <c r="I291" s="32">
        <f t="shared" si="14"/>
        <v>253982.5583447268</v>
      </c>
      <c r="K291" s="32"/>
      <c r="L291" s="2"/>
      <c r="N291" s="34"/>
    </row>
    <row r="292">
      <c r="A292" s="36">
        <v>45251</v>
      </c>
      <c r="D292" s="1" t="s">
        <v>12</v>
      </c>
      <c r="E292" s="32">
        <v>113.90000000000001</v>
      </c>
      <c r="F292" s="32">
        <f t="shared" ref="F292:F355" si="15">SUM($E$11:E292)</f>
        <v>3969461.0133133279</v>
      </c>
      <c r="G292" s="32"/>
      <c r="H292" s="33">
        <f t="shared" ref="H292:H355" si="16">IF(F292/$H$7&lt;50000,$N$1,IF(F292/$H$7&lt;100000,$N$2,IF(F292/$H$7&lt;150000,$N$3,IF(F292/$H$7&lt;200000,$N$4,IF(F292/$H$7&lt;250000,$N$5,$N$6)))))</f>
        <v>1.2</v>
      </c>
      <c r="I292" s="32">
        <f t="shared" si="14"/>
        <v>253841.77794472681</v>
      </c>
      <c r="K292" s="32"/>
      <c r="L292" s="2"/>
      <c r="N292" s="34"/>
    </row>
    <row r="293">
      <c r="A293" s="36">
        <v>45258</v>
      </c>
      <c r="D293" s="1" t="s">
        <v>12</v>
      </c>
      <c r="E293" s="32">
        <f>4324+6868.4</f>
        <v>11192.4</v>
      </c>
      <c r="F293" s="32">
        <f t="shared" si="15"/>
        <v>3980653.4133133278</v>
      </c>
      <c r="G293" s="32"/>
      <c r="H293" s="33">
        <f t="shared" si="16"/>
        <v>1.2</v>
      </c>
      <c r="I293" s="32">
        <f t="shared" ref="I293:I356" si="17">G293+I292-E293*IF(D293="P",1.03,1)*H293</f>
        <v>240007.97154472681</v>
      </c>
      <c r="J293" t="s">
        <v>26</v>
      </c>
      <c r="K293" s="32"/>
      <c r="L293" s="2"/>
      <c r="N293" s="34"/>
    </row>
    <row r="294">
      <c r="A294" s="36">
        <v>45258</v>
      </c>
      <c r="D294" s="1" t="s">
        <v>12</v>
      </c>
      <c r="E294" s="32">
        <v>24799.009999999998</v>
      </c>
      <c r="F294" s="32">
        <f t="shared" si="15"/>
        <v>4005452.4233133276</v>
      </c>
      <c r="G294" s="32"/>
      <c r="H294" s="33">
        <f t="shared" si="16"/>
        <v>1.2</v>
      </c>
      <c r="I294" s="32">
        <f t="shared" si="17"/>
        <v>209356.3951847268</v>
      </c>
      <c r="J294" t="s">
        <v>26</v>
      </c>
      <c r="K294" s="32"/>
      <c r="L294" s="2"/>
      <c r="N294" s="34"/>
    </row>
    <row r="295">
      <c r="A295" s="36">
        <v>45258</v>
      </c>
      <c r="D295" s="1" t="s">
        <v>12</v>
      </c>
      <c r="E295" s="32">
        <v>196608</v>
      </c>
      <c r="F295" s="32">
        <f t="shared" si="15"/>
        <v>4202060.4233133271</v>
      </c>
      <c r="G295" s="32"/>
      <c r="H295" s="33">
        <f t="shared" si="16"/>
        <v>1.2</v>
      </c>
      <c r="I295" s="32">
        <f t="shared" si="17"/>
        <v>-33651.092815273179</v>
      </c>
      <c r="J295" t="s">
        <v>26</v>
      </c>
      <c r="K295" s="32"/>
      <c r="L295" s="2"/>
      <c r="N295" s="34"/>
    </row>
    <row r="296">
      <c r="A296" s="36">
        <v>45258</v>
      </c>
      <c r="D296" s="1" t="s">
        <v>12</v>
      </c>
      <c r="E296" s="32">
        <v>28160</v>
      </c>
      <c r="F296" s="32">
        <f t="shared" si="15"/>
        <v>4230220.4233133271</v>
      </c>
      <c r="G296" s="32"/>
      <c r="H296" s="33">
        <f t="shared" si="16"/>
        <v>1.2</v>
      </c>
      <c r="I296" s="32">
        <f t="shared" si="17"/>
        <v>-68456.852815273174</v>
      </c>
      <c r="J296" t="s">
        <v>26</v>
      </c>
      <c r="K296" s="32"/>
      <c r="L296" s="2"/>
      <c r="N296" s="34"/>
    </row>
    <row r="297">
      <c r="A297" s="36">
        <v>45258</v>
      </c>
      <c r="D297" s="1" t="s">
        <v>12</v>
      </c>
      <c r="E297" s="32">
        <v>11350</v>
      </c>
      <c r="F297" s="32">
        <f t="shared" si="15"/>
        <v>4241570.4233133271</v>
      </c>
      <c r="G297" s="32"/>
      <c r="H297" s="33">
        <f t="shared" si="16"/>
        <v>1.2</v>
      </c>
      <c r="I297" s="32">
        <f t="shared" si="17"/>
        <v>-82485.45281527318</v>
      </c>
      <c r="J297" t="s">
        <v>26</v>
      </c>
      <c r="K297" s="32"/>
      <c r="L297" s="2"/>
      <c r="N297" s="34"/>
    </row>
    <row r="298">
      <c r="A298" s="36">
        <v>45287</v>
      </c>
      <c r="D298" s="1" t="s">
        <v>12</v>
      </c>
      <c r="E298" s="32">
        <v>108.98</v>
      </c>
      <c r="F298" s="32">
        <f t="shared" si="15"/>
        <v>4241679.4033133276</v>
      </c>
      <c r="G298" s="32"/>
      <c r="H298" s="33">
        <f t="shared" si="16"/>
        <v>1.2</v>
      </c>
      <c r="I298" s="32">
        <f t="shared" si="17"/>
        <v>-82620.152095273181</v>
      </c>
      <c r="K298" s="32"/>
      <c r="L298" s="2"/>
      <c r="N298" s="34"/>
    </row>
    <row r="299">
      <c r="A299" s="36">
        <v>45287</v>
      </c>
      <c r="D299" s="1" t="s">
        <v>12</v>
      </c>
      <c r="E299" s="32">
        <v>589.26999999999998</v>
      </c>
      <c r="F299" s="32">
        <f t="shared" si="15"/>
        <v>4242268.6733133271</v>
      </c>
      <c r="G299" s="32"/>
      <c r="H299" s="33">
        <f t="shared" si="16"/>
        <v>1.2</v>
      </c>
      <c r="I299" s="32">
        <f t="shared" si="17"/>
        <v>-83348.489815273177</v>
      </c>
      <c r="K299" s="32"/>
      <c r="L299" s="2"/>
      <c r="N299" s="34"/>
    </row>
    <row r="300">
      <c r="A300" s="36">
        <v>45294</v>
      </c>
      <c r="D300" s="1" t="s">
        <v>12</v>
      </c>
      <c r="E300" s="32">
        <v>14500</v>
      </c>
      <c r="F300" s="32">
        <f t="shared" si="15"/>
        <v>4256768.6733133271</v>
      </c>
      <c r="G300" s="32"/>
      <c r="H300" s="33">
        <f t="shared" si="16"/>
        <v>1.2</v>
      </c>
      <c r="I300" s="32">
        <f t="shared" si="17"/>
        <v>-101270.48981527318</v>
      </c>
      <c r="K300" s="32"/>
      <c r="L300" s="2"/>
      <c r="N300" s="34"/>
    </row>
    <row r="301">
      <c r="A301" s="36">
        <v>45299</v>
      </c>
      <c r="D301" s="1" t="s">
        <v>12</v>
      </c>
      <c r="E301" s="32">
        <v>25575.279999999999</v>
      </c>
      <c r="F301" s="32">
        <f t="shared" si="15"/>
        <v>4282343.9533133274</v>
      </c>
      <c r="G301" s="32"/>
      <c r="H301" s="33">
        <f t="shared" si="16"/>
        <v>1.2</v>
      </c>
      <c r="I301" s="32">
        <f t="shared" si="17"/>
        <v>-132881.53589527318</v>
      </c>
      <c r="K301" s="32"/>
      <c r="L301" s="2"/>
      <c r="N301" s="34"/>
    </row>
    <row r="302">
      <c r="A302" s="36">
        <v>45299</v>
      </c>
      <c r="D302" s="1" t="s">
        <v>12</v>
      </c>
      <c r="E302" s="32">
        <v>5102.5799999999999</v>
      </c>
      <c r="F302" s="32">
        <f t="shared" si="15"/>
        <v>4287446.5333133275</v>
      </c>
      <c r="G302" s="32"/>
      <c r="H302" s="33">
        <f t="shared" si="16"/>
        <v>1.2</v>
      </c>
      <c r="I302" s="32">
        <f t="shared" si="17"/>
        <v>-139188.32477527318</v>
      </c>
      <c r="K302" s="32"/>
      <c r="L302" s="2"/>
      <c r="N302" s="34"/>
    </row>
    <row r="303">
      <c r="A303" s="36">
        <v>45316</v>
      </c>
      <c r="D303" s="1" t="s">
        <v>12</v>
      </c>
      <c r="E303" s="32">
        <v>81.439999999999998</v>
      </c>
      <c r="F303" s="32">
        <f t="shared" si="15"/>
        <v>4287527.9733133279</v>
      </c>
      <c r="G303" s="32"/>
      <c r="H303" s="33">
        <f t="shared" si="16"/>
        <v>1.2</v>
      </c>
      <c r="I303" s="32">
        <f t="shared" si="17"/>
        <v>-139288.98461527319</v>
      </c>
      <c r="K303" s="2"/>
      <c r="N303" s="34"/>
    </row>
    <row r="304">
      <c r="A304" s="36">
        <v>45318</v>
      </c>
      <c r="D304" s="1" t="s">
        <v>12</v>
      </c>
      <c r="E304" s="32">
        <v>10.609999999999999</v>
      </c>
      <c r="F304" s="32">
        <f t="shared" si="15"/>
        <v>4287538.5833133282</v>
      </c>
      <c r="G304" s="32"/>
      <c r="H304" s="33">
        <f t="shared" si="16"/>
        <v>1.2</v>
      </c>
      <c r="I304" s="32">
        <f t="shared" si="17"/>
        <v>-139302.09857527318</v>
      </c>
      <c r="K304" s="2"/>
      <c r="N304" s="34"/>
    </row>
    <row r="305">
      <c r="A305" s="36">
        <v>45320</v>
      </c>
      <c r="D305" s="1" t="s">
        <v>12</v>
      </c>
      <c r="E305" s="32">
        <v>25279</v>
      </c>
      <c r="F305" s="32">
        <f t="shared" si="15"/>
        <v>4312817.5833133282</v>
      </c>
      <c r="G305" s="32"/>
      <c r="H305" s="33">
        <f t="shared" si="16"/>
        <v>1.2</v>
      </c>
      <c r="I305" s="32">
        <f t="shared" si="17"/>
        <v>-170546.94257527316</v>
      </c>
      <c r="K305" s="2"/>
      <c r="N305" s="34"/>
      <c r="T305" s="2"/>
    </row>
    <row r="306">
      <c r="A306" s="36">
        <v>45329</v>
      </c>
      <c r="D306" s="1" t="s">
        <v>12</v>
      </c>
      <c r="E306" s="32">
        <v>963.96000000000004</v>
      </c>
      <c r="F306" s="32">
        <f t="shared" si="15"/>
        <v>4313781.5433133282</v>
      </c>
      <c r="G306" s="32"/>
      <c r="H306" s="33">
        <f t="shared" si="16"/>
        <v>1.2</v>
      </c>
      <c r="I306" s="32">
        <f t="shared" si="17"/>
        <v>-171738.39713527318</v>
      </c>
      <c r="K306" s="2"/>
      <c r="N306" s="34"/>
    </row>
    <row r="307">
      <c r="A307" s="36">
        <v>45329</v>
      </c>
      <c r="C307" s="37"/>
      <c r="E307" s="32"/>
      <c r="F307" s="32">
        <f t="shared" si="15"/>
        <v>4313781.5433133282</v>
      </c>
      <c r="G307" s="32">
        <v>249981.67000000001</v>
      </c>
      <c r="H307" s="33">
        <f t="shared" si="16"/>
        <v>1.2</v>
      </c>
      <c r="I307" s="32">
        <f t="shared" si="17"/>
        <v>78243.272864726838</v>
      </c>
      <c r="J307" s="2">
        <f>SUM(G307:G310)</f>
        <v>978550.68000000005</v>
      </c>
      <c r="K307" s="2"/>
      <c r="N307" s="34"/>
    </row>
    <row r="308">
      <c r="A308" s="36">
        <v>45330</v>
      </c>
      <c r="C308" s="37"/>
      <c r="E308" s="32"/>
      <c r="F308" s="32">
        <f t="shared" si="15"/>
        <v>4313781.5433133282</v>
      </c>
      <c r="G308" s="32">
        <v>249981.67000000001</v>
      </c>
      <c r="H308" s="33">
        <f t="shared" si="16"/>
        <v>1.2</v>
      </c>
      <c r="I308" s="32">
        <f t="shared" si="17"/>
        <v>328224.94286472688</v>
      </c>
      <c r="K308" s="2"/>
      <c r="N308" s="34"/>
    </row>
    <row r="309">
      <c r="A309" s="36">
        <v>45331</v>
      </c>
      <c r="C309" s="37"/>
      <c r="E309" s="32"/>
      <c r="F309" s="32">
        <f t="shared" si="15"/>
        <v>4313781.5433133282</v>
      </c>
      <c r="G309" s="32">
        <v>249981.67000000001</v>
      </c>
      <c r="H309" s="33">
        <f t="shared" si="16"/>
        <v>1.2</v>
      </c>
      <c r="I309" s="32">
        <f t="shared" si="17"/>
        <v>578206.61286472692</v>
      </c>
      <c r="K309" s="32"/>
      <c r="L309" s="2"/>
      <c r="N309" s="34"/>
    </row>
    <row r="310">
      <c r="A310" s="36">
        <v>45336</v>
      </c>
      <c r="C310" s="37"/>
      <c r="E310" s="32"/>
      <c r="F310" s="32">
        <f t="shared" si="15"/>
        <v>4313781.5433133282</v>
      </c>
      <c r="G310" s="32">
        <v>228605.67000000001</v>
      </c>
      <c r="H310" s="33">
        <f t="shared" si="16"/>
        <v>1.2</v>
      </c>
      <c r="I310" s="32">
        <f t="shared" si="17"/>
        <v>806812.28286472696</v>
      </c>
      <c r="K310" s="32"/>
      <c r="L310" s="2"/>
      <c r="N310" s="34"/>
    </row>
    <row r="311">
      <c r="A311" s="36">
        <v>45345</v>
      </c>
      <c r="C311" s="37"/>
      <c r="D311" s="1" t="s">
        <v>12</v>
      </c>
      <c r="E311" s="32">
        <v>1760.5899999999999</v>
      </c>
      <c r="F311" s="32">
        <f t="shared" si="15"/>
        <v>4315542.133313328</v>
      </c>
      <c r="G311" s="32"/>
      <c r="H311" s="33">
        <f t="shared" si="16"/>
        <v>1.2</v>
      </c>
      <c r="I311" s="32">
        <f t="shared" si="17"/>
        <v>804636.19362472696</v>
      </c>
      <c r="K311" s="32"/>
      <c r="L311" s="2"/>
      <c r="N311" s="34"/>
    </row>
    <row r="312">
      <c r="A312" s="36">
        <v>45345</v>
      </c>
      <c r="C312" s="37"/>
      <c r="D312" s="1" t="s">
        <v>12</v>
      </c>
      <c r="E312" s="32">
        <v>5249.6000000000004</v>
      </c>
      <c r="F312" s="32">
        <f t="shared" si="15"/>
        <v>4320791.7333133277</v>
      </c>
      <c r="G312" s="32"/>
      <c r="H312" s="33">
        <f t="shared" si="16"/>
        <v>1.2</v>
      </c>
      <c r="I312" s="32">
        <f t="shared" si="17"/>
        <v>798147.68802472693</v>
      </c>
      <c r="K312" s="32"/>
      <c r="L312" s="2"/>
      <c r="N312" s="34"/>
    </row>
    <row r="313">
      <c r="A313" s="36">
        <v>45345</v>
      </c>
      <c r="C313" s="37"/>
      <c r="D313" s="1" t="s">
        <v>12</v>
      </c>
      <c r="E313" s="32">
        <v>300.89999999999998</v>
      </c>
      <c r="F313" s="32">
        <f t="shared" si="15"/>
        <v>4321092.633313328</v>
      </c>
      <c r="G313" s="32"/>
      <c r="H313" s="33">
        <f t="shared" si="16"/>
        <v>1.2</v>
      </c>
      <c r="I313" s="32">
        <f t="shared" si="17"/>
        <v>797775.7756247269</v>
      </c>
      <c r="K313" s="32"/>
      <c r="L313" s="2"/>
      <c r="N313" s="34"/>
    </row>
    <row r="314">
      <c r="A314" s="36">
        <v>45349</v>
      </c>
      <c r="D314" s="1" t="s">
        <v>12</v>
      </c>
      <c r="E314" s="32">
        <v>23600</v>
      </c>
      <c r="F314" s="32">
        <f t="shared" si="15"/>
        <v>4344692.633313328</v>
      </c>
      <c r="G314" s="32"/>
      <c r="H314" s="33">
        <f t="shared" si="16"/>
        <v>1.2</v>
      </c>
      <c r="I314" s="32">
        <f t="shared" si="17"/>
        <v>768606.17562472692</v>
      </c>
      <c r="K314" s="32"/>
      <c r="L314" s="2"/>
      <c r="N314" s="34"/>
    </row>
    <row r="315">
      <c r="A315" s="36">
        <v>45356</v>
      </c>
      <c r="D315" s="1" t="s">
        <v>12</v>
      </c>
      <c r="E315" s="32">
        <v>652.79999999999995</v>
      </c>
      <c r="F315" s="32">
        <f t="shared" si="15"/>
        <v>4345345.4333133278</v>
      </c>
      <c r="G315" s="32"/>
      <c r="H315" s="33">
        <f t="shared" si="16"/>
        <v>1.2</v>
      </c>
      <c r="I315" s="32">
        <f t="shared" si="17"/>
        <v>767799.3148247269</v>
      </c>
      <c r="K315" s="32"/>
      <c r="L315" s="2"/>
      <c r="N315" s="34"/>
    </row>
    <row r="316">
      <c r="A316" s="36">
        <v>45356</v>
      </c>
      <c r="D316" s="1" t="s">
        <v>12</v>
      </c>
      <c r="E316" s="32">
        <v>102503.13</v>
      </c>
      <c r="F316" s="32">
        <f t="shared" si="15"/>
        <v>4447848.5633133277</v>
      </c>
      <c r="G316" s="32"/>
      <c r="H316" s="33">
        <f t="shared" si="16"/>
        <v>1.2</v>
      </c>
      <c r="I316" s="32">
        <f t="shared" si="17"/>
        <v>641105.44614472683</v>
      </c>
      <c r="K316" s="32"/>
      <c r="L316" s="2"/>
      <c r="N316" s="34"/>
    </row>
    <row r="317">
      <c r="A317" s="36">
        <v>45365</v>
      </c>
      <c r="D317" s="1" t="s">
        <v>12</v>
      </c>
      <c r="E317" s="32">
        <v>19999.209999999999</v>
      </c>
      <c r="F317" s="32">
        <f t="shared" si="15"/>
        <v>4467847.7733133277</v>
      </c>
      <c r="G317" s="32"/>
      <c r="H317" s="33">
        <f t="shared" si="16"/>
        <v>1.2</v>
      </c>
      <c r="I317" s="32">
        <f t="shared" si="17"/>
        <v>616386.42258472682</v>
      </c>
      <c r="K317" s="32"/>
      <c r="L317" s="2"/>
      <c r="N317" s="34"/>
    </row>
    <row r="318">
      <c r="A318" s="36">
        <v>45365</v>
      </c>
      <c r="D318" s="1" t="s">
        <v>12</v>
      </c>
      <c r="E318" s="32">
        <v>13484.4</v>
      </c>
      <c r="F318" s="32">
        <f t="shared" si="15"/>
        <v>4481332.1733133281</v>
      </c>
      <c r="G318" s="32"/>
      <c r="H318" s="33">
        <f t="shared" si="16"/>
        <v>1.2</v>
      </c>
      <c r="I318" s="32">
        <f t="shared" si="17"/>
        <v>599719.70418472681</v>
      </c>
      <c r="K318" s="32"/>
      <c r="L318" s="2"/>
      <c r="N318" s="34"/>
    </row>
    <row r="319">
      <c r="A319" s="36">
        <v>45365</v>
      </c>
      <c r="D319" s="1" t="s">
        <v>12</v>
      </c>
      <c r="E319" s="32">
        <v>78643.199999999997</v>
      </c>
      <c r="F319" s="32">
        <f t="shared" si="15"/>
        <v>4559975.3733133283</v>
      </c>
      <c r="G319" s="32"/>
      <c r="H319" s="33">
        <f t="shared" si="16"/>
        <v>1.2</v>
      </c>
      <c r="I319" s="32">
        <f t="shared" si="17"/>
        <v>502516.70898472681</v>
      </c>
      <c r="K319" s="32"/>
      <c r="L319" s="2"/>
      <c r="N319" s="34"/>
    </row>
    <row r="320">
      <c r="A320" s="36">
        <v>45365</v>
      </c>
      <c r="D320" s="1" t="s">
        <v>12</v>
      </c>
      <c r="E320" s="32">
        <v>4000</v>
      </c>
      <c r="F320" s="32">
        <f t="shared" si="15"/>
        <v>4563975.3733133283</v>
      </c>
      <c r="G320" s="32"/>
      <c r="H320" s="33">
        <f t="shared" si="16"/>
        <v>1.2</v>
      </c>
      <c r="I320" s="32">
        <f t="shared" si="17"/>
        <v>497572.70898472681</v>
      </c>
      <c r="K320" s="32"/>
      <c r="L320" s="2"/>
      <c r="N320" s="34"/>
    </row>
    <row r="321">
      <c r="A321" s="36">
        <v>45365</v>
      </c>
      <c r="D321" s="1" t="s">
        <v>12</v>
      </c>
      <c r="E321" s="32">
        <v>3760</v>
      </c>
      <c r="F321" s="32">
        <f t="shared" si="15"/>
        <v>4567735.3733133283</v>
      </c>
      <c r="G321" s="32"/>
      <c r="H321" s="33">
        <f t="shared" si="16"/>
        <v>1.2</v>
      </c>
      <c r="I321" s="32">
        <f t="shared" si="17"/>
        <v>492925.34898472682</v>
      </c>
      <c r="K321" s="32"/>
      <c r="L321" s="2"/>
      <c r="N321" s="34"/>
    </row>
    <row r="322">
      <c r="A322" s="36">
        <v>45365</v>
      </c>
      <c r="D322" s="1" t="s">
        <v>12</v>
      </c>
      <c r="E322" s="32">
        <v>335.99000000000001</v>
      </c>
      <c r="F322" s="32">
        <f t="shared" si="15"/>
        <v>4568071.3633133285</v>
      </c>
      <c r="G322" s="32"/>
      <c r="H322" s="33">
        <f t="shared" si="16"/>
        <v>1.2</v>
      </c>
      <c r="I322" s="32">
        <f t="shared" si="17"/>
        <v>492510.06534472684</v>
      </c>
      <c r="K322" s="32"/>
      <c r="L322" s="2"/>
      <c r="N322" s="34"/>
    </row>
    <row r="323">
      <c r="A323" s="36">
        <v>45372</v>
      </c>
      <c r="D323" s="1" t="s">
        <v>12</v>
      </c>
      <c r="E323" s="32">
        <v>79200</v>
      </c>
      <c r="F323" s="32">
        <f t="shared" si="15"/>
        <v>4647271.3633133285</v>
      </c>
      <c r="G323" s="32"/>
      <c r="H323" s="33">
        <f t="shared" si="16"/>
        <v>1.2</v>
      </c>
      <c r="I323" s="32">
        <f t="shared" si="17"/>
        <v>394618.86534472683</v>
      </c>
      <c r="K323" s="32"/>
      <c r="L323" s="2"/>
      <c r="N323" s="34"/>
    </row>
    <row r="324">
      <c r="A324" s="36">
        <v>45376</v>
      </c>
      <c r="D324" s="1" t="s">
        <v>12</v>
      </c>
      <c r="E324" s="32">
        <v>4656.3500000000004</v>
      </c>
      <c r="F324" s="32">
        <f t="shared" si="15"/>
        <v>4651927.7133133281</v>
      </c>
      <c r="G324" s="32"/>
      <c r="H324" s="33">
        <f t="shared" si="16"/>
        <v>1.2</v>
      </c>
      <c r="I324" s="32">
        <f t="shared" si="17"/>
        <v>388863.61674472684</v>
      </c>
      <c r="K324" s="32"/>
      <c r="L324" s="2"/>
      <c r="N324" s="34"/>
    </row>
    <row r="325">
      <c r="A325" s="36">
        <v>45378</v>
      </c>
      <c r="D325" s="1" t="s">
        <v>12</v>
      </c>
      <c r="E325" s="32">
        <v>22080</v>
      </c>
      <c r="F325" s="32">
        <f t="shared" si="15"/>
        <v>4674007.7133133281</v>
      </c>
      <c r="G325" s="32"/>
      <c r="H325" s="33">
        <f t="shared" si="16"/>
        <v>1.2</v>
      </c>
      <c r="I325" s="32">
        <f t="shared" si="17"/>
        <v>361572.73674472683</v>
      </c>
      <c r="K325" s="32"/>
      <c r="L325" s="2"/>
      <c r="N325" s="34"/>
    </row>
    <row r="326">
      <c r="A326" s="36">
        <v>45379</v>
      </c>
      <c r="D326" s="1" t="s">
        <v>12</v>
      </c>
      <c r="E326" s="32">
        <f>197000/7.75</f>
        <v>25419.354838709678</v>
      </c>
      <c r="F326" s="32">
        <f t="shared" si="15"/>
        <v>4699427.0681520374</v>
      </c>
      <c r="G326" s="32"/>
      <c r="H326" s="33">
        <f t="shared" si="16"/>
        <v>1.2</v>
      </c>
      <c r="I326" s="32">
        <f t="shared" si="17"/>
        <v>330154.41416408168</v>
      </c>
      <c r="J326" t="s">
        <v>27</v>
      </c>
      <c r="K326" s="32"/>
      <c r="L326" s="2"/>
      <c r="N326" s="34"/>
    </row>
    <row r="327">
      <c r="A327" s="36">
        <v>45390</v>
      </c>
      <c r="D327" s="1" t="s">
        <v>12</v>
      </c>
      <c r="E327" s="32">
        <f>39900/7.75</f>
        <v>5148.3870967741932</v>
      </c>
      <c r="F327" s="32">
        <f t="shared" si="15"/>
        <v>4704575.4552488113</v>
      </c>
      <c r="G327" s="32"/>
      <c r="H327" s="33">
        <f t="shared" si="16"/>
        <v>1.2</v>
      </c>
      <c r="I327" s="32">
        <f t="shared" si="17"/>
        <v>323791.0077124688</v>
      </c>
      <c r="K327" s="32"/>
      <c r="L327" s="2"/>
      <c r="N327" s="34"/>
    </row>
    <row r="328">
      <c r="A328" s="36">
        <v>45394</v>
      </c>
      <c r="D328" s="1" t="s">
        <v>12</v>
      </c>
      <c r="E328" s="32">
        <v>20650</v>
      </c>
      <c r="F328" s="32">
        <f t="shared" si="15"/>
        <v>4725225.4552488113</v>
      </c>
      <c r="G328" s="32"/>
      <c r="H328" s="33">
        <f t="shared" si="16"/>
        <v>1.2</v>
      </c>
      <c r="I328" s="32">
        <f t="shared" si="17"/>
        <v>298267.60771246877</v>
      </c>
      <c r="K328" s="32"/>
      <c r="L328" s="2"/>
      <c r="N328" s="34"/>
    </row>
    <row r="329">
      <c r="A329" s="36">
        <v>45406</v>
      </c>
      <c r="D329" s="1" t="s">
        <v>12</v>
      </c>
      <c r="E329" s="32">
        <f>2000</f>
        <v>2000</v>
      </c>
      <c r="F329" s="32">
        <f t="shared" si="15"/>
        <v>4727225.4552488113</v>
      </c>
      <c r="G329" s="32"/>
      <c r="H329" s="33">
        <f t="shared" si="16"/>
        <v>1.2</v>
      </c>
      <c r="I329" s="32">
        <f t="shared" si="17"/>
        <v>295795.60771246877</v>
      </c>
      <c r="K329" s="32"/>
      <c r="L329" s="2"/>
      <c r="N329" s="34"/>
    </row>
    <row r="330">
      <c r="A330" s="36">
        <v>45406</v>
      </c>
      <c r="D330" s="1" t="s">
        <v>12</v>
      </c>
      <c r="E330" s="32">
        <f>2270+196+3008+3434.2</f>
        <v>8908.2000000000007</v>
      </c>
      <c r="F330" s="32">
        <f t="shared" si="15"/>
        <v>4736133.6552488115</v>
      </c>
      <c r="G330" s="32"/>
      <c r="H330" s="33">
        <f t="shared" si="16"/>
        <v>1.2</v>
      </c>
      <c r="I330" s="32">
        <f t="shared" si="17"/>
        <v>284785.07251246879</v>
      </c>
      <c r="K330" s="32"/>
      <c r="L330" s="2"/>
      <c r="N330" s="34"/>
    </row>
    <row r="331">
      <c r="A331" s="36">
        <v>45406</v>
      </c>
      <c r="D331" s="1" t="s">
        <v>12</v>
      </c>
      <c r="E331" s="32">
        <f>29491.2</f>
        <v>29491.200000000001</v>
      </c>
      <c r="F331" s="32">
        <f t="shared" si="15"/>
        <v>4765624.8552488117</v>
      </c>
      <c r="G331" s="32"/>
      <c r="H331" s="33">
        <f t="shared" si="16"/>
        <v>1.2</v>
      </c>
      <c r="I331" s="32">
        <f t="shared" si="17"/>
        <v>248333.94931246879</v>
      </c>
      <c r="K331" s="32"/>
      <c r="L331" s="2"/>
      <c r="N331" s="34"/>
    </row>
    <row r="332">
      <c r="A332" s="36">
        <v>45406</v>
      </c>
      <c r="D332" s="1" t="s">
        <v>12</v>
      </c>
      <c r="E332" s="32">
        <f>799.97+1599.94+3999.84</f>
        <v>6399.75</v>
      </c>
      <c r="F332" s="32">
        <f t="shared" si="15"/>
        <v>4772024.6052488117</v>
      </c>
      <c r="G332" s="32"/>
      <c r="H332" s="33">
        <f t="shared" si="16"/>
        <v>1.2</v>
      </c>
      <c r="I332" s="32">
        <f t="shared" si="17"/>
        <v>240423.8583124688</v>
      </c>
      <c r="K332" s="32"/>
      <c r="L332" s="2"/>
      <c r="N332" s="34"/>
    </row>
    <row r="333">
      <c r="A333" s="36">
        <v>45408</v>
      </c>
      <c r="D333" s="1" t="s">
        <v>12</v>
      </c>
      <c r="E333" s="32">
        <v>11800</v>
      </c>
      <c r="F333" s="32">
        <f t="shared" si="15"/>
        <v>4783824.6052488117</v>
      </c>
      <c r="G333" s="32"/>
      <c r="H333" s="33">
        <f t="shared" si="16"/>
        <v>1.2</v>
      </c>
      <c r="I333" s="32">
        <f t="shared" si="17"/>
        <v>225839.05831246881</v>
      </c>
      <c r="K333" s="32"/>
      <c r="L333" s="2"/>
      <c r="N333" s="34"/>
    </row>
    <row r="334">
      <c r="A334" s="36">
        <v>45411</v>
      </c>
      <c r="D334" s="1" t="s">
        <v>12</v>
      </c>
      <c r="E334" s="32">
        <f>197000/7.75</f>
        <v>25419.354838709678</v>
      </c>
      <c r="F334" s="32">
        <f t="shared" si="15"/>
        <v>4809243.960087521</v>
      </c>
      <c r="G334" s="32"/>
      <c r="H334" s="33">
        <f t="shared" si="16"/>
        <v>1.2</v>
      </c>
      <c r="I334" s="32">
        <f t="shared" si="17"/>
        <v>194420.73573182366</v>
      </c>
      <c r="J334" t="s">
        <v>28</v>
      </c>
      <c r="K334" s="32"/>
      <c r="L334" s="2"/>
      <c r="N334" s="34"/>
    </row>
    <row r="335">
      <c r="A335" s="36">
        <v>45411</v>
      </c>
      <c r="D335" s="1" t="s">
        <v>12</v>
      </c>
      <c r="E335" s="32">
        <v>10000</v>
      </c>
      <c r="F335" s="32">
        <f t="shared" si="15"/>
        <v>4819243.960087521</v>
      </c>
      <c r="G335" s="32"/>
      <c r="H335" s="33">
        <f t="shared" si="16"/>
        <v>1.2</v>
      </c>
      <c r="I335" s="32">
        <f t="shared" si="17"/>
        <v>182060.73573182366</v>
      </c>
      <c r="K335" s="32"/>
      <c r="L335" s="2"/>
      <c r="N335" s="34"/>
    </row>
    <row r="336">
      <c r="A336" s="36">
        <v>45418</v>
      </c>
      <c r="D336" s="1" t="s">
        <v>12</v>
      </c>
      <c r="E336" s="32">
        <v>7822.8699999999999</v>
      </c>
      <c r="F336" s="32">
        <f t="shared" si="15"/>
        <v>4827066.8300875211</v>
      </c>
      <c r="G336" s="32"/>
      <c r="H336" s="33">
        <f t="shared" si="16"/>
        <v>1.2</v>
      </c>
      <c r="I336" s="32">
        <f t="shared" si="17"/>
        <v>172391.66841182366</v>
      </c>
      <c r="K336" s="32"/>
      <c r="L336" s="2"/>
      <c r="N336" s="34"/>
    </row>
    <row r="337">
      <c r="A337" s="36">
        <v>45419</v>
      </c>
      <c r="D337" s="1" t="s">
        <v>12</v>
      </c>
      <c r="E337" s="32">
        <v>686</v>
      </c>
      <c r="F337" s="32">
        <f t="shared" si="15"/>
        <v>4827752.8300875211</v>
      </c>
      <c r="G337" s="32"/>
      <c r="H337" s="33">
        <f t="shared" si="16"/>
        <v>1.2</v>
      </c>
      <c r="I337" s="32">
        <f t="shared" si="17"/>
        <v>171543.77241182365</v>
      </c>
      <c r="K337" s="32"/>
      <c r="L337" s="2"/>
      <c r="N337" s="34"/>
    </row>
    <row r="338">
      <c r="A338" s="36">
        <v>45420</v>
      </c>
      <c r="D338" s="1" t="s">
        <v>12</v>
      </c>
      <c r="E338" s="32">
        <v>11022</v>
      </c>
      <c r="F338" s="32">
        <f t="shared" si="15"/>
        <v>4838774.8300875211</v>
      </c>
      <c r="G338" s="32"/>
      <c r="H338" s="33">
        <f t="shared" si="16"/>
        <v>1.2</v>
      </c>
      <c r="I338" s="32">
        <f t="shared" si="17"/>
        <v>157920.58041182364</v>
      </c>
      <c r="K338" s="32"/>
      <c r="L338" s="2"/>
      <c r="N338" s="34"/>
    </row>
    <row r="339">
      <c r="A339" s="36">
        <v>45421</v>
      </c>
      <c r="D339" s="1" t="s">
        <v>12</v>
      </c>
      <c r="E339" s="32">
        <v>1463.95</v>
      </c>
      <c r="F339" s="32">
        <f t="shared" si="15"/>
        <v>4840238.7800875213</v>
      </c>
      <c r="G339" s="32"/>
      <c r="H339" s="33">
        <f t="shared" si="16"/>
        <v>1.2</v>
      </c>
      <c r="I339" s="32">
        <f t="shared" si="17"/>
        <v>156111.13821182365</v>
      </c>
      <c r="K339" s="32"/>
      <c r="L339" s="2"/>
      <c r="N339" s="34"/>
    </row>
    <row r="340">
      <c r="A340" s="36">
        <v>45421</v>
      </c>
      <c r="D340" s="1" t="s">
        <v>12</v>
      </c>
      <c r="E340" s="32">
        <v>1730.1900000000001</v>
      </c>
      <c r="F340" s="32">
        <f t="shared" si="15"/>
        <v>4841968.9700875217</v>
      </c>
      <c r="G340" s="32"/>
      <c r="H340" s="33">
        <f t="shared" si="16"/>
        <v>1.2</v>
      </c>
      <c r="I340" s="32">
        <f t="shared" si="17"/>
        <v>153972.62337182366</v>
      </c>
      <c r="K340" s="32"/>
      <c r="L340" s="2"/>
      <c r="N340" s="34"/>
    </row>
    <row r="341">
      <c r="A341" s="36">
        <v>45421</v>
      </c>
      <c r="D341" s="1" t="s">
        <v>12</v>
      </c>
      <c r="E341" s="32">
        <v>424</v>
      </c>
      <c r="F341" s="32">
        <f t="shared" si="15"/>
        <v>4842392.9700875217</v>
      </c>
      <c r="G341" s="32"/>
      <c r="H341" s="33">
        <f t="shared" si="16"/>
        <v>1.2</v>
      </c>
      <c r="I341" s="32">
        <f t="shared" si="17"/>
        <v>153448.55937182365</v>
      </c>
      <c r="K341" s="32"/>
      <c r="L341" s="2"/>
      <c r="N341" s="34"/>
    </row>
    <row r="342">
      <c r="A342" s="36">
        <v>45421</v>
      </c>
      <c r="D342" s="1" t="s">
        <v>12</v>
      </c>
      <c r="E342" s="32">
        <v>2300</v>
      </c>
      <c r="F342" s="32">
        <f t="shared" si="15"/>
        <v>4844692.9700875217</v>
      </c>
      <c r="G342" s="32"/>
      <c r="H342" s="33">
        <f t="shared" si="16"/>
        <v>1.2</v>
      </c>
      <c r="I342" s="32">
        <f t="shared" si="17"/>
        <v>150605.75937182366</v>
      </c>
      <c r="K342" s="32"/>
      <c r="L342" s="2"/>
      <c r="N342" s="34"/>
    </row>
    <row r="343">
      <c r="A343" s="36">
        <v>45421</v>
      </c>
      <c r="D343" s="1" t="s">
        <v>12</v>
      </c>
      <c r="E343" s="32">
        <v>432.98000000000002</v>
      </c>
      <c r="F343" s="32">
        <f t="shared" si="15"/>
        <v>4845125.9500875222</v>
      </c>
      <c r="G343" s="32"/>
      <c r="H343" s="33">
        <f t="shared" si="16"/>
        <v>1.2</v>
      </c>
      <c r="I343" s="32">
        <f t="shared" si="17"/>
        <v>150070.59609182365</v>
      </c>
      <c r="K343" s="32"/>
      <c r="L343" s="2"/>
      <c r="N343" s="34"/>
    </row>
    <row r="344">
      <c r="A344" s="36">
        <v>45422</v>
      </c>
      <c r="D344" s="1" t="s">
        <v>12</v>
      </c>
      <c r="E344" s="32">
        <v>63</v>
      </c>
      <c r="F344" s="32">
        <f t="shared" si="15"/>
        <v>4845188.9500875222</v>
      </c>
      <c r="G344" s="32"/>
      <c r="H344" s="33">
        <f t="shared" si="16"/>
        <v>1.2</v>
      </c>
      <c r="I344" s="32">
        <f t="shared" si="17"/>
        <v>149992.72809182366</v>
      </c>
      <c r="K344" s="32"/>
      <c r="L344" s="2"/>
      <c r="N344" s="34"/>
    </row>
    <row r="345">
      <c r="A345" s="36">
        <v>45427</v>
      </c>
      <c r="D345" s="1" t="s">
        <v>12</v>
      </c>
      <c r="E345" s="32">
        <v>16900</v>
      </c>
      <c r="F345" s="32">
        <f t="shared" si="15"/>
        <v>4862088.9500875222</v>
      </c>
      <c r="G345" s="32"/>
      <c r="H345" s="33">
        <f t="shared" si="16"/>
        <v>1.2</v>
      </c>
      <c r="I345" s="32">
        <f t="shared" si="17"/>
        <v>129104.32809182367</v>
      </c>
      <c r="K345" s="32"/>
      <c r="L345" s="2"/>
      <c r="N345" s="34"/>
    </row>
    <row r="346">
      <c r="A346" s="36">
        <v>45427</v>
      </c>
      <c r="D346" s="1" t="s">
        <v>12</v>
      </c>
      <c r="E346" s="32">
        <v>3459</v>
      </c>
      <c r="F346" s="32">
        <f t="shared" si="15"/>
        <v>4865547.9500875222</v>
      </c>
      <c r="G346" s="32"/>
      <c r="H346" s="33">
        <f t="shared" si="16"/>
        <v>1.2</v>
      </c>
      <c r="I346" s="32">
        <f t="shared" si="17"/>
        <v>124829.00409182368</v>
      </c>
      <c r="K346" s="32"/>
      <c r="L346" s="2"/>
      <c r="N346" s="34"/>
    </row>
    <row r="347">
      <c r="A347" s="36">
        <v>45427</v>
      </c>
      <c r="D347" s="1" t="s">
        <v>12</v>
      </c>
      <c r="E347" s="32">
        <v>6220.4200000000001</v>
      </c>
      <c r="F347" s="32">
        <f t="shared" si="15"/>
        <v>4871768.3700875221</v>
      </c>
      <c r="G347" s="32"/>
      <c r="H347" s="33">
        <f t="shared" si="16"/>
        <v>1.2</v>
      </c>
      <c r="I347" s="32">
        <f t="shared" si="17"/>
        <v>117140.56497182368</v>
      </c>
      <c r="K347" s="32"/>
      <c r="L347" s="2"/>
      <c r="N347" s="34"/>
    </row>
    <row r="348">
      <c r="A348" s="36">
        <v>45428</v>
      </c>
      <c r="D348" s="1" t="s">
        <v>12</v>
      </c>
      <c r="E348" s="32">
        <v>2355</v>
      </c>
      <c r="F348" s="32">
        <f t="shared" si="15"/>
        <v>4874123.3700875221</v>
      </c>
      <c r="G348" s="32"/>
      <c r="H348" s="33">
        <f t="shared" si="16"/>
        <v>1.2</v>
      </c>
      <c r="I348" s="32">
        <f t="shared" si="17"/>
        <v>114229.78497182368</v>
      </c>
      <c r="K348" s="32"/>
      <c r="L348" s="2"/>
      <c r="N348" s="34"/>
    </row>
    <row r="349">
      <c r="A349" s="36">
        <v>45433</v>
      </c>
      <c r="D349" s="1" t="s">
        <v>12</v>
      </c>
      <c r="E349" s="32">
        <v>23600</v>
      </c>
      <c r="F349" s="32">
        <f t="shared" si="15"/>
        <v>4897723.3700875221</v>
      </c>
      <c r="G349" s="32"/>
      <c r="H349" s="33">
        <f t="shared" si="16"/>
        <v>1.2</v>
      </c>
      <c r="I349" s="32">
        <f t="shared" si="17"/>
        <v>85060.184971823677</v>
      </c>
      <c r="K349" s="32"/>
      <c r="L349" s="2"/>
      <c r="N349" s="34"/>
    </row>
    <row r="350">
      <c r="A350" s="36">
        <v>45467</v>
      </c>
      <c r="D350" s="1" t="s">
        <v>12</v>
      </c>
      <c r="E350" s="32">
        <v>102</v>
      </c>
      <c r="F350" s="32">
        <f t="shared" si="15"/>
        <v>4897825.3700875221</v>
      </c>
      <c r="G350" s="32"/>
      <c r="H350" s="33">
        <f t="shared" si="16"/>
        <v>1.2</v>
      </c>
      <c r="I350" s="32">
        <f t="shared" si="17"/>
        <v>84934.112971823677</v>
      </c>
      <c r="K350" s="32"/>
      <c r="L350" s="2"/>
      <c r="N350" s="34"/>
    </row>
    <row r="351">
      <c r="A351" s="36">
        <v>45436</v>
      </c>
      <c r="D351" s="1" t="s">
        <v>12</v>
      </c>
      <c r="E351" s="32">
        <v>1520.98</v>
      </c>
      <c r="F351" s="32">
        <f t="shared" si="15"/>
        <v>4899346.3500875225</v>
      </c>
      <c r="G351" s="32"/>
      <c r="H351" s="33">
        <f t="shared" si="16"/>
        <v>1.2</v>
      </c>
      <c r="I351" s="32">
        <f t="shared" si="17"/>
        <v>83054.181691823673</v>
      </c>
      <c r="K351" s="32"/>
      <c r="L351" s="2"/>
      <c r="N351" s="34"/>
    </row>
    <row r="352">
      <c r="A352" s="36">
        <v>45442</v>
      </c>
      <c r="D352" s="1" t="s">
        <v>12</v>
      </c>
      <c r="E352" s="32">
        <v>3000</v>
      </c>
      <c r="F352" s="32">
        <f t="shared" si="15"/>
        <v>4902346.3500875225</v>
      </c>
      <c r="G352" s="32"/>
      <c r="H352" s="33">
        <f t="shared" si="16"/>
        <v>1.2</v>
      </c>
      <c r="I352" s="32">
        <f t="shared" si="17"/>
        <v>79346.181691823673</v>
      </c>
      <c r="K352" s="32"/>
      <c r="L352" s="2"/>
      <c r="N352" s="34"/>
    </row>
    <row r="353">
      <c r="A353" s="36">
        <v>45442</v>
      </c>
      <c r="D353" s="1" t="s">
        <v>12</v>
      </c>
      <c r="E353" s="32">
        <f>2632+3434.2+196+4540</f>
        <v>10802.200000000001</v>
      </c>
      <c r="F353" s="32">
        <f t="shared" si="15"/>
        <v>4913148.5500875227</v>
      </c>
      <c r="G353" s="32"/>
      <c r="H353" s="33">
        <f t="shared" si="16"/>
        <v>1.2</v>
      </c>
      <c r="I353" s="32">
        <f t="shared" si="17"/>
        <v>65994.662491823678</v>
      </c>
      <c r="K353" s="32"/>
      <c r="L353" s="2"/>
      <c r="N353" s="34"/>
    </row>
    <row r="354">
      <c r="A354" s="36">
        <v>45442</v>
      </c>
      <c r="D354" s="1" t="s">
        <v>12</v>
      </c>
      <c r="E354" s="32">
        <v>19660.799999999999</v>
      </c>
      <c r="F354" s="32">
        <f t="shared" si="15"/>
        <v>4932809.3500875225</v>
      </c>
      <c r="G354" s="32"/>
      <c r="H354" s="33">
        <f t="shared" si="16"/>
        <v>1.2</v>
      </c>
      <c r="I354" s="32">
        <f t="shared" si="17"/>
        <v>41693.913691823676</v>
      </c>
      <c r="K354" s="32"/>
      <c r="L354" s="2"/>
      <c r="N354" s="34"/>
    </row>
    <row r="355">
      <c r="A355" s="36">
        <v>45442</v>
      </c>
      <c r="D355" s="1" t="s">
        <v>12</v>
      </c>
      <c r="E355" s="32">
        <v>5599.7759999999998</v>
      </c>
      <c r="F355" s="32">
        <f t="shared" si="15"/>
        <v>4938409.1260875221</v>
      </c>
      <c r="G355" s="32"/>
      <c r="H355" s="33">
        <f t="shared" si="16"/>
        <v>1.2</v>
      </c>
      <c r="I355" s="32">
        <f t="shared" si="17"/>
        <v>34772.590555823677</v>
      </c>
      <c r="K355" s="32"/>
      <c r="L355" s="2"/>
      <c r="N355" s="34"/>
    </row>
    <row r="356">
      <c r="A356" s="36">
        <v>45442</v>
      </c>
      <c r="D356" s="1" t="s">
        <v>12</v>
      </c>
      <c r="E356" s="32">
        <v>4273.8100000000004</v>
      </c>
      <c r="F356" s="32">
        <f t="shared" ref="F356:F419" si="18">SUM($E$11:E356)</f>
        <v>4942682.9360875217</v>
      </c>
      <c r="G356" s="32"/>
      <c r="H356" s="33">
        <f t="shared" ref="H356:H419" si="19">IF(F356/$H$7&lt;50000,$N$1,IF(F356/$H$7&lt;100000,$N$2,IF(F356/$H$7&lt;150000,$N$3,IF(F356/$H$7&lt;200000,$N$4,IF(F356/$H$7&lt;250000,$N$5,$N$6)))))</f>
        <v>1.2</v>
      </c>
      <c r="I356" s="32">
        <f t="shared" si="17"/>
        <v>29490.161395823678</v>
      </c>
      <c r="K356" s="32"/>
      <c r="L356" s="2"/>
      <c r="N356" s="34"/>
    </row>
    <row r="357">
      <c r="A357" s="36">
        <v>45442</v>
      </c>
      <c r="E357" s="32">
        <v>17775.400000000001</v>
      </c>
      <c r="F357" s="32">
        <f t="shared" si="18"/>
        <v>4960458.3360875221</v>
      </c>
      <c r="G357" s="32"/>
      <c r="H357" s="33">
        <f t="shared" si="19"/>
        <v>1.2</v>
      </c>
      <c r="I357" s="32">
        <f t="shared" ref="I357:I419" si="20">G357+I356-E357*IF(D357="P",1.03,1)*H357</f>
        <v>8159.681395823678</v>
      </c>
      <c r="K357" s="32"/>
      <c r="L357" s="2"/>
      <c r="N357" s="34"/>
    </row>
    <row r="358">
      <c r="A358" s="36">
        <v>45442</v>
      </c>
      <c r="D358" s="1" t="s">
        <v>12</v>
      </c>
      <c r="E358" s="32">
        <v>5044.5</v>
      </c>
      <c r="F358" s="32">
        <f t="shared" si="18"/>
        <v>4965502.8360875221</v>
      </c>
      <c r="G358" s="32"/>
      <c r="H358" s="33">
        <f t="shared" si="19"/>
        <v>1.2</v>
      </c>
      <c r="I358" s="32">
        <f t="shared" si="20"/>
        <v>1924.6793958236785</v>
      </c>
      <c r="K358" s="32"/>
      <c r="L358" s="2"/>
      <c r="N358" s="34"/>
    </row>
    <row r="359">
      <c r="A359" s="36">
        <v>45450</v>
      </c>
      <c r="D359" s="1" t="s">
        <v>12</v>
      </c>
      <c r="E359" s="32">
        <v>1553.0799999999999</v>
      </c>
      <c r="F359" s="32">
        <f t="shared" si="18"/>
        <v>4967055.9160875222</v>
      </c>
      <c r="G359" s="32"/>
      <c r="H359" s="33">
        <f t="shared" si="19"/>
        <v>1.2</v>
      </c>
      <c r="I359" s="32">
        <f t="shared" si="20"/>
        <v>5.0725158236787138</v>
      </c>
      <c r="K359" s="32"/>
      <c r="L359" s="2"/>
      <c r="N359" s="34"/>
    </row>
    <row r="360">
      <c r="A360" s="36">
        <v>45455</v>
      </c>
      <c r="D360" s="1" t="s">
        <v>12</v>
      </c>
      <c r="E360" s="32">
        <v>844.51999999999998</v>
      </c>
      <c r="F360" s="32">
        <f t="shared" si="18"/>
        <v>4967900.4360875217</v>
      </c>
      <c r="G360" s="32"/>
      <c r="H360" s="33">
        <f t="shared" si="19"/>
        <v>1.2</v>
      </c>
      <c r="I360" s="32">
        <f t="shared" si="20"/>
        <v>-1038.7542041763213</v>
      </c>
      <c r="K360" s="32"/>
      <c r="L360" s="2"/>
      <c r="N360" s="34"/>
    </row>
    <row r="361">
      <c r="A361" s="36">
        <v>45456</v>
      </c>
      <c r="D361" s="1" t="s">
        <v>12</v>
      </c>
      <c r="E361" s="32">
        <v>1060</v>
      </c>
      <c r="F361" s="32">
        <f t="shared" si="18"/>
        <v>4968960.4360875217</v>
      </c>
      <c r="G361" s="32"/>
      <c r="H361" s="33">
        <f t="shared" si="19"/>
        <v>1.2</v>
      </c>
      <c r="I361" s="32">
        <f t="shared" si="20"/>
        <v>-2348.9142041763212</v>
      </c>
      <c r="K361" s="32"/>
      <c r="L361" s="2"/>
      <c r="N361" s="34"/>
    </row>
    <row r="362">
      <c r="A362" s="36">
        <v>45462</v>
      </c>
      <c r="D362" s="1" t="s">
        <v>12</v>
      </c>
      <c r="E362" s="32">
        <v>3459</v>
      </c>
      <c r="F362" s="32">
        <f t="shared" si="18"/>
        <v>4972419.4360875217</v>
      </c>
      <c r="G362" s="32"/>
      <c r="H362" s="33">
        <f t="shared" si="19"/>
        <v>1.2</v>
      </c>
      <c r="I362" s="32">
        <f t="shared" si="20"/>
        <v>-6624.2382041763212</v>
      </c>
      <c r="K362" s="32"/>
      <c r="L362" s="2"/>
      <c r="N362" s="34"/>
    </row>
    <row r="363">
      <c r="A363" s="36">
        <v>45467</v>
      </c>
      <c r="D363" s="1" t="s">
        <v>12</v>
      </c>
      <c r="E363" s="32">
        <v>54000</v>
      </c>
      <c r="F363" s="32">
        <f t="shared" si="18"/>
        <v>5026419.4360875217</v>
      </c>
      <c r="G363" s="32"/>
      <c r="H363" s="33">
        <f t="shared" si="19"/>
        <v>1.2</v>
      </c>
      <c r="I363" s="32">
        <f t="shared" si="20"/>
        <v>-73368.238204176319</v>
      </c>
      <c r="K363" s="32"/>
      <c r="L363" s="2"/>
      <c r="N363" s="34"/>
    </row>
    <row r="364">
      <c r="A364" s="36">
        <v>45467</v>
      </c>
      <c r="D364" s="1" t="s">
        <v>12</v>
      </c>
      <c r="E364" s="32">
        <v>6000</v>
      </c>
      <c r="F364" s="32">
        <f t="shared" si="18"/>
        <v>5032419.4360875217</v>
      </c>
      <c r="G364" s="32"/>
      <c r="H364" s="33">
        <f t="shared" si="19"/>
        <v>1.2</v>
      </c>
      <c r="I364" s="32">
        <f t="shared" si="20"/>
        <v>-80784.238204176319</v>
      </c>
      <c r="K364" s="32"/>
      <c r="L364" s="2"/>
      <c r="N364" s="34"/>
    </row>
    <row r="365">
      <c r="A365" s="36">
        <v>45468</v>
      </c>
      <c r="D365" s="1" t="s">
        <v>12</v>
      </c>
      <c r="E365" s="32">
        <v>160</v>
      </c>
      <c r="F365" s="32">
        <f t="shared" si="18"/>
        <v>5032579.4360875217</v>
      </c>
      <c r="G365" s="32"/>
      <c r="H365" s="33">
        <f t="shared" si="19"/>
        <v>1.2</v>
      </c>
      <c r="I365" s="32">
        <f t="shared" si="20"/>
        <v>-80981.998204176314</v>
      </c>
      <c r="K365" s="32"/>
      <c r="L365" s="2"/>
      <c r="N365" s="34"/>
    </row>
    <row r="366">
      <c r="A366" s="36">
        <v>45473</v>
      </c>
      <c r="E366" s="32">
        <v>26040</v>
      </c>
      <c r="F366" s="32">
        <f t="shared" si="18"/>
        <v>5058619.4360875217</v>
      </c>
      <c r="G366" s="32"/>
      <c r="H366" s="33">
        <f t="shared" si="19"/>
        <v>1.2</v>
      </c>
      <c r="I366" s="32">
        <f t="shared" si="20"/>
        <v>-112229.99820417631</v>
      </c>
      <c r="K366" s="32"/>
      <c r="L366" s="2"/>
      <c r="N366" s="34"/>
    </row>
    <row r="367">
      <c r="A367" s="36">
        <v>45475</v>
      </c>
      <c r="C367" s="37"/>
      <c r="D367" s="1" t="s">
        <v>12</v>
      </c>
      <c r="E367" s="32">
        <v>40800</v>
      </c>
      <c r="F367" s="32">
        <f t="shared" si="18"/>
        <v>5099419.4360875217</v>
      </c>
      <c r="G367" s="32"/>
      <c r="H367" s="33">
        <f t="shared" si="19"/>
        <v>1.2</v>
      </c>
      <c r="I367" s="32">
        <f t="shared" si="20"/>
        <v>-162658.7982041763</v>
      </c>
      <c r="K367" s="32"/>
      <c r="L367" s="2"/>
      <c r="N367" s="34"/>
    </row>
    <row r="368">
      <c r="A368" s="36">
        <v>45475</v>
      </c>
      <c r="C368" s="37"/>
      <c r="E368" s="32"/>
      <c r="F368" s="32">
        <f t="shared" si="18"/>
        <v>5099419.4360875217</v>
      </c>
      <c r="G368" s="32">
        <v>249981.66</v>
      </c>
      <c r="H368" s="33">
        <f t="shared" si="19"/>
        <v>1.2</v>
      </c>
      <c r="I368" s="32">
        <f t="shared" si="20"/>
        <v>87322.861795823701</v>
      </c>
      <c r="K368" s="32"/>
      <c r="L368" s="2"/>
      <c r="N368" s="34"/>
    </row>
    <row r="369">
      <c r="A369" s="36">
        <v>45476</v>
      </c>
      <c r="D369" s="1" t="s">
        <v>12</v>
      </c>
      <c r="E369" s="32">
        <v>193.52000000000001</v>
      </c>
      <c r="F369" s="32">
        <f t="shared" si="18"/>
        <v>5099612.9560875213</v>
      </c>
      <c r="G369" s="32"/>
      <c r="H369" s="33">
        <f t="shared" si="19"/>
        <v>1.2</v>
      </c>
      <c r="I369" s="32">
        <f t="shared" si="20"/>
        <v>87083.671075823702</v>
      </c>
      <c r="K369" s="32"/>
      <c r="L369" s="2"/>
      <c r="N369" s="34"/>
    </row>
    <row r="370">
      <c r="A370" s="36">
        <v>45477</v>
      </c>
      <c r="D370" s="1" t="s">
        <v>12</v>
      </c>
      <c r="E370" s="32">
        <v>451.80000000000001</v>
      </c>
      <c r="F370" s="32">
        <f t="shared" si="18"/>
        <v>5100064.7560875211</v>
      </c>
      <c r="G370" s="32"/>
      <c r="H370" s="33">
        <f t="shared" si="19"/>
        <v>1.2</v>
      </c>
      <c r="I370" s="32">
        <f t="shared" si="20"/>
        <v>86525.246275823709</v>
      </c>
      <c r="K370" s="32"/>
      <c r="L370" s="2"/>
      <c r="N370" s="34"/>
    </row>
    <row r="371">
      <c r="A371" s="36">
        <v>45477</v>
      </c>
      <c r="C371" s="37"/>
      <c r="E371" s="32"/>
      <c r="F371" s="32">
        <f t="shared" si="18"/>
        <v>5100064.7560875211</v>
      </c>
      <c r="G371" s="32">
        <f>24981.66+7160.82</f>
        <v>32142.48</v>
      </c>
      <c r="H371" s="33">
        <f t="shared" si="19"/>
        <v>1.2</v>
      </c>
      <c r="I371" s="32">
        <f t="shared" si="20"/>
        <v>118667.7262758237</v>
      </c>
      <c r="K371" s="32"/>
      <c r="L371" s="2"/>
      <c r="N371" s="34"/>
    </row>
    <row r="372">
      <c r="A372" s="36">
        <v>45482</v>
      </c>
      <c r="D372" s="1" t="s">
        <v>12</v>
      </c>
      <c r="E372" s="32">
        <v>46.07</v>
      </c>
      <c r="F372" s="32">
        <f t="shared" si="18"/>
        <v>5100110.8260875214</v>
      </c>
      <c r="G372" s="32"/>
      <c r="H372" s="33">
        <f t="shared" si="19"/>
        <v>1.2</v>
      </c>
      <c r="I372" s="32">
        <f t="shared" si="20"/>
        <v>118610.78375582371</v>
      </c>
      <c r="K372" s="32"/>
      <c r="L372" s="2"/>
      <c r="N372" s="34"/>
    </row>
    <row r="373">
      <c r="A373" s="36">
        <v>45483</v>
      </c>
      <c r="C373" s="37"/>
      <c r="D373" s="1" t="s">
        <v>12</v>
      </c>
      <c r="E373" s="32">
        <v>14706.82</v>
      </c>
      <c r="F373" s="32">
        <f t="shared" si="18"/>
        <v>5114817.6460875217</v>
      </c>
      <c r="G373" s="32"/>
      <c r="H373" s="33">
        <f t="shared" si="19"/>
        <v>1.2</v>
      </c>
      <c r="I373" s="32">
        <f t="shared" si="20"/>
        <v>100433.15423582371</v>
      </c>
      <c r="K373" s="32"/>
      <c r="L373" s="2"/>
      <c r="N373" s="34"/>
    </row>
    <row r="374">
      <c r="A374" s="36">
        <v>45485</v>
      </c>
      <c r="C374" s="37"/>
      <c r="D374" s="1" t="s">
        <v>12</v>
      </c>
      <c r="E374" s="32">
        <v>840</v>
      </c>
      <c r="F374" s="32">
        <f t="shared" si="18"/>
        <v>5115657.6460875217</v>
      </c>
      <c r="G374" s="32"/>
      <c r="H374" s="33">
        <f t="shared" si="19"/>
        <v>1.2</v>
      </c>
      <c r="I374" s="32">
        <f t="shared" si="20"/>
        <v>99394.9142358237</v>
      </c>
      <c r="K374" s="32"/>
      <c r="L374" s="2"/>
      <c r="N374" s="34"/>
    </row>
    <row r="375">
      <c r="A375" s="36">
        <v>45485</v>
      </c>
      <c r="D375" s="1" t="s">
        <v>12</v>
      </c>
      <c r="E375" s="32">
        <v>500</v>
      </c>
      <c r="F375" s="32">
        <f t="shared" si="18"/>
        <v>5116157.6460875217</v>
      </c>
      <c r="H375" s="33">
        <f t="shared" si="19"/>
        <v>1.2</v>
      </c>
      <c r="I375" s="32">
        <f t="shared" si="20"/>
        <v>98776.9142358237</v>
      </c>
      <c r="N375" s="34"/>
    </row>
    <row r="376">
      <c r="A376" s="36">
        <v>45488</v>
      </c>
      <c r="C376" s="37"/>
      <c r="D376" s="1" t="s">
        <v>12</v>
      </c>
      <c r="E376" s="32">
        <v>2190</v>
      </c>
      <c r="F376" s="32">
        <f t="shared" si="18"/>
        <v>5118347.6460875217</v>
      </c>
      <c r="G376" s="32"/>
      <c r="H376" s="33">
        <f t="shared" si="19"/>
        <v>1.2</v>
      </c>
      <c r="I376" s="32">
        <f t="shared" si="20"/>
        <v>96070.074235823704</v>
      </c>
      <c r="K376" s="32"/>
      <c r="L376" s="2"/>
      <c r="N376" s="34"/>
    </row>
    <row r="377">
      <c r="A377" s="36">
        <v>45488</v>
      </c>
      <c r="C377" s="37"/>
      <c r="D377" s="1" t="s">
        <v>12</v>
      </c>
      <c r="E377" s="32">
        <v>747.60000000000002</v>
      </c>
      <c r="F377" s="32">
        <f t="shared" si="18"/>
        <v>5119095.2460875213</v>
      </c>
      <c r="G377" s="32"/>
      <c r="H377" s="33">
        <f t="shared" si="19"/>
        <v>1.2</v>
      </c>
      <c r="I377" s="32">
        <f t="shared" si="20"/>
        <v>95146.040635823709</v>
      </c>
      <c r="K377" s="32"/>
      <c r="L377" s="2"/>
      <c r="N377" s="34"/>
    </row>
    <row r="378">
      <c r="A378" s="36">
        <v>45496</v>
      </c>
      <c r="D378" s="1" t="s">
        <v>12</v>
      </c>
      <c r="E378" s="32">
        <v>14080</v>
      </c>
      <c r="F378" s="32">
        <f t="shared" si="18"/>
        <v>5133175.2460875213</v>
      </c>
      <c r="G378" s="32"/>
      <c r="H378" s="33">
        <f t="shared" si="19"/>
        <v>1.2</v>
      </c>
      <c r="I378" s="32">
        <f t="shared" si="20"/>
        <v>77743.160635823704</v>
      </c>
      <c r="K378" s="32"/>
      <c r="L378" s="2"/>
      <c r="N378" s="34"/>
    </row>
    <row r="379">
      <c r="A379" s="36">
        <v>45499</v>
      </c>
      <c r="C379" s="37"/>
      <c r="D379" s="1" t="s">
        <v>12</v>
      </c>
      <c r="E379" s="32">
        <v>17700</v>
      </c>
      <c r="F379" s="32">
        <f t="shared" si="18"/>
        <v>5150875.2460875213</v>
      </c>
      <c r="G379" s="32"/>
      <c r="H379" s="33">
        <f t="shared" si="19"/>
        <v>1.2</v>
      </c>
      <c r="I379" s="32">
        <f t="shared" si="20"/>
        <v>55865.960635823707</v>
      </c>
      <c r="K379" s="32"/>
      <c r="L379" s="2"/>
      <c r="N379" s="34"/>
    </row>
    <row r="380">
      <c r="A380" s="36">
        <v>45500</v>
      </c>
      <c r="C380" s="37"/>
      <c r="E380" s="32"/>
      <c r="F380" s="32">
        <f t="shared" si="18"/>
        <v>5150875.2460875213</v>
      </c>
      <c r="G380" s="32">
        <v>65218.870000000003</v>
      </c>
      <c r="H380" s="33">
        <f t="shared" si="19"/>
        <v>1.2</v>
      </c>
      <c r="I380" s="32">
        <f t="shared" si="20"/>
        <v>121084.83063582372</v>
      </c>
      <c r="K380" s="32"/>
      <c r="L380" s="2"/>
      <c r="N380" s="34"/>
    </row>
    <row r="381">
      <c r="A381" s="36">
        <v>45503</v>
      </c>
      <c r="E381" s="32">
        <v>27375</v>
      </c>
      <c r="F381" s="32">
        <f t="shared" si="18"/>
        <v>5178250.2460875213</v>
      </c>
      <c r="G381" s="32"/>
      <c r="H381" s="33">
        <f t="shared" si="19"/>
        <v>1.2</v>
      </c>
      <c r="I381" s="32">
        <f t="shared" si="20"/>
        <v>88234.830635823717</v>
      </c>
      <c r="K381" s="32"/>
      <c r="L381" s="2"/>
      <c r="N381" s="34"/>
    </row>
    <row r="382">
      <c r="A382" s="36">
        <v>45504</v>
      </c>
      <c r="D382" s="1" t="s">
        <v>12</v>
      </c>
      <c r="E382" s="32">
        <v>5000</v>
      </c>
      <c r="F382" s="32">
        <f t="shared" si="18"/>
        <v>5183250.2460875213</v>
      </c>
      <c r="G382" s="32"/>
      <c r="H382" s="33">
        <f t="shared" si="19"/>
        <v>1.2</v>
      </c>
      <c r="I382" s="32">
        <f t="shared" si="20"/>
        <v>82054.830635823717</v>
      </c>
      <c r="K382" s="32"/>
      <c r="L382" s="2"/>
      <c r="N382" s="34"/>
    </row>
    <row r="383">
      <c r="A383" s="36">
        <v>45504</v>
      </c>
      <c r="D383" s="1" t="s">
        <v>12</v>
      </c>
      <c r="E383" s="32">
        <v>8100</v>
      </c>
      <c r="F383" s="32">
        <f t="shared" si="18"/>
        <v>5191350.2460875213</v>
      </c>
      <c r="G383" s="32"/>
      <c r="H383" s="33">
        <f t="shared" si="19"/>
        <v>1.2</v>
      </c>
      <c r="I383" s="32">
        <f t="shared" si="20"/>
        <v>72043.230635823711</v>
      </c>
      <c r="K383" s="32"/>
      <c r="L383" s="2"/>
      <c r="N383" s="34"/>
    </row>
    <row r="384">
      <c r="A384" s="36">
        <v>45509</v>
      </c>
      <c r="C384" s="37"/>
      <c r="D384" s="1" t="s">
        <v>12</v>
      </c>
      <c r="E384" s="32">
        <v>710</v>
      </c>
      <c r="F384" s="32">
        <f t="shared" si="18"/>
        <v>5192060.2460875213</v>
      </c>
      <c r="G384" s="32"/>
      <c r="H384" s="33">
        <f t="shared" si="19"/>
        <v>1.2</v>
      </c>
      <c r="I384" s="32">
        <f t="shared" si="20"/>
        <v>71165.670635823713</v>
      </c>
      <c r="K384" s="32"/>
      <c r="L384" s="2"/>
      <c r="N384" s="34"/>
    </row>
    <row r="385">
      <c r="A385" s="36">
        <v>45519</v>
      </c>
      <c r="D385" s="1" t="s">
        <v>12</v>
      </c>
      <c r="E385" s="32">
        <v>9385.1700000000001</v>
      </c>
      <c r="F385" s="32">
        <f t="shared" si="18"/>
        <v>5201445.4160875212</v>
      </c>
      <c r="G385" s="32"/>
      <c r="H385" s="33">
        <f t="shared" si="19"/>
        <v>1.2</v>
      </c>
      <c r="I385" s="32">
        <f t="shared" si="20"/>
        <v>59565.600515823717</v>
      </c>
      <c r="K385" s="32"/>
      <c r="L385" s="2"/>
      <c r="N385" s="34"/>
    </row>
    <row r="386">
      <c r="A386" s="36">
        <v>45482</v>
      </c>
      <c r="D386" s="1" t="s">
        <v>12</v>
      </c>
      <c r="E386" s="32">
        <v>976.23000000000002</v>
      </c>
      <c r="F386" s="32">
        <f t="shared" si="18"/>
        <v>5202421.6460875217</v>
      </c>
      <c r="G386" s="32"/>
      <c r="H386" s="33">
        <f t="shared" si="19"/>
        <v>1.2</v>
      </c>
      <c r="I386" s="32">
        <f t="shared" si="20"/>
        <v>58358.980235823714</v>
      </c>
      <c r="K386" s="32"/>
      <c r="L386" s="2"/>
      <c r="N386" s="34"/>
    </row>
    <row r="387">
      <c r="A387" s="36">
        <v>45524</v>
      </c>
      <c r="D387" s="1" t="s">
        <v>12</v>
      </c>
      <c r="E387" s="32">
        <v>976.23000000000002</v>
      </c>
      <c r="F387" s="32">
        <f t="shared" si="18"/>
        <v>5203397.8760875221</v>
      </c>
      <c r="G387" s="32"/>
      <c r="H387" s="33">
        <f t="shared" si="19"/>
        <v>1.2</v>
      </c>
      <c r="I387" s="32">
        <f t="shared" si="20"/>
        <v>57152.359955823711</v>
      </c>
      <c r="K387" s="32"/>
      <c r="L387" s="2"/>
      <c r="N387" s="34"/>
    </row>
    <row r="388">
      <c r="A388" s="36">
        <v>45528</v>
      </c>
      <c r="C388" s="37"/>
      <c r="E388" s="32"/>
      <c r="F388" s="32">
        <f t="shared" si="18"/>
        <v>5203397.8760875221</v>
      </c>
      <c r="G388" s="32">
        <v>8066.0200000000004</v>
      </c>
      <c r="H388" s="33">
        <f t="shared" si="19"/>
        <v>1.2</v>
      </c>
      <c r="I388" s="32">
        <f t="shared" si="20"/>
        <v>65218.379955823708</v>
      </c>
      <c r="K388" s="32"/>
      <c r="L388" s="2"/>
      <c r="N388" s="34"/>
    </row>
    <row r="389">
      <c r="A389" s="36">
        <v>45528</v>
      </c>
      <c r="E389" s="32"/>
      <c r="F389" s="32">
        <f t="shared" si="18"/>
        <v>5203397.8760875221</v>
      </c>
      <c r="G389" s="32">
        <v>99981.639999999999</v>
      </c>
      <c r="H389" s="33">
        <f t="shared" si="19"/>
        <v>1.2</v>
      </c>
      <c r="I389" s="32">
        <f t="shared" si="20"/>
        <v>165200.01995582372</v>
      </c>
      <c r="K389" s="32"/>
      <c r="L389" s="2"/>
      <c r="N389" s="34"/>
    </row>
    <row r="390">
      <c r="A390" s="36">
        <v>45531</v>
      </c>
      <c r="E390" s="32"/>
      <c r="F390" s="32">
        <f t="shared" si="18"/>
        <v>5203397.8760875221</v>
      </c>
      <c r="G390" s="32">
        <v>101097.57000000001</v>
      </c>
      <c r="H390" s="33">
        <f t="shared" si="19"/>
        <v>1.2</v>
      </c>
      <c r="I390" s="32">
        <f t="shared" si="20"/>
        <v>266297.58995582373</v>
      </c>
      <c r="K390" s="32"/>
      <c r="L390" s="2"/>
      <c r="N390" s="34"/>
    </row>
    <row r="391">
      <c r="A391" s="36">
        <v>45535</v>
      </c>
      <c r="E391" s="32">
        <v>13640</v>
      </c>
      <c r="F391" s="32">
        <f t="shared" si="18"/>
        <v>5217037.8760875221</v>
      </c>
      <c r="G391" s="32"/>
      <c r="H391" s="33">
        <f t="shared" si="19"/>
        <v>1.2</v>
      </c>
      <c r="I391" s="32">
        <f t="shared" si="20"/>
        <v>249929.58995582373</v>
      </c>
      <c r="K391" s="32"/>
      <c r="L391" s="2"/>
      <c r="N391" s="34"/>
    </row>
    <row r="392">
      <c r="A392" s="36">
        <v>45545</v>
      </c>
      <c r="D392" s="1" t="s">
        <v>12</v>
      </c>
      <c r="E392" s="32">
        <v>975</v>
      </c>
      <c r="F392" s="32">
        <f t="shared" si="18"/>
        <v>5218012.8760875221</v>
      </c>
      <c r="G392" s="32"/>
      <c r="H392" s="33">
        <f t="shared" si="19"/>
        <v>1.2</v>
      </c>
      <c r="I392" s="32">
        <f t="shared" si="20"/>
        <v>248724.48995582372</v>
      </c>
      <c r="K392" s="32"/>
      <c r="L392" s="2"/>
      <c r="N392" s="34"/>
    </row>
    <row r="393">
      <c r="A393" s="36">
        <v>45548</v>
      </c>
      <c r="D393" s="1" t="s">
        <v>12</v>
      </c>
      <c r="E393" s="32">
        <v>9185</v>
      </c>
      <c r="F393" s="32">
        <f t="shared" si="18"/>
        <v>5227197.8760875221</v>
      </c>
      <c r="H393" s="33">
        <f t="shared" si="19"/>
        <v>1.2</v>
      </c>
      <c r="I393" s="32">
        <f t="shared" si="20"/>
        <v>237371.82995582372</v>
      </c>
      <c r="N393" s="34"/>
    </row>
    <row r="394">
      <c r="A394" s="36">
        <v>45548</v>
      </c>
      <c r="C394" s="39"/>
      <c r="D394" s="1" t="s">
        <v>12</v>
      </c>
      <c r="E394" s="32">
        <v>4080</v>
      </c>
      <c r="F394" s="32">
        <f t="shared" si="18"/>
        <v>5231277.8760875221</v>
      </c>
      <c r="H394" s="33">
        <f t="shared" si="19"/>
        <v>1.2</v>
      </c>
      <c r="I394" s="32">
        <f t="shared" si="20"/>
        <v>232328.94995582371</v>
      </c>
      <c r="N394" s="34"/>
    </row>
    <row r="395">
      <c r="A395" s="36">
        <v>45548</v>
      </c>
      <c r="D395" s="1" t="s">
        <v>12</v>
      </c>
      <c r="E395" s="32">
        <v>2373</v>
      </c>
      <c r="F395" s="32">
        <f t="shared" si="18"/>
        <v>5233650.8760875221</v>
      </c>
      <c r="H395" s="33">
        <f t="shared" si="19"/>
        <v>1.2</v>
      </c>
      <c r="I395" s="32">
        <f t="shared" si="20"/>
        <v>229395.92195582372</v>
      </c>
      <c r="N395" s="34"/>
    </row>
    <row r="396">
      <c r="A396" s="36">
        <v>45554</v>
      </c>
      <c r="C396" s="37"/>
      <c r="E396" s="32"/>
      <c r="F396" s="32">
        <f t="shared" si="18"/>
        <v>5233650.8760875221</v>
      </c>
      <c r="G396" s="32">
        <v>12216.360000000001</v>
      </c>
      <c r="H396" s="33">
        <f t="shared" si="19"/>
        <v>1.2</v>
      </c>
      <c r="I396" s="32">
        <f t="shared" si="20"/>
        <v>241612.28195582371</v>
      </c>
      <c r="N396" s="34"/>
    </row>
    <row r="397">
      <c r="A397" s="36">
        <v>45559</v>
      </c>
      <c r="D397" s="1" t="s">
        <v>12</v>
      </c>
      <c r="E397" s="32">
        <v>2184</v>
      </c>
      <c r="F397" s="32">
        <f t="shared" si="18"/>
        <v>5235834.8760875221</v>
      </c>
      <c r="H397" s="33">
        <f t="shared" si="19"/>
        <v>1.2</v>
      </c>
      <c r="I397" s="32">
        <f t="shared" si="20"/>
        <v>238912.85795582371</v>
      </c>
      <c r="N397" s="34"/>
    </row>
    <row r="398">
      <c r="A398" s="36">
        <v>45565</v>
      </c>
      <c r="E398" s="32">
        <v>13640</v>
      </c>
      <c r="F398" s="32">
        <f t="shared" si="18"/>
        <v>5249474.8760875221</v>
      </c>
      <c r="H398" s="33">
        <f t="shared" si="19"/>
        <v>1.2</v>
      </c>
      <c r="I398" s="32">
        <f t="shared" si="20"/>
        <v>222544.85795582371</v>
      </c>
      <c r="N398" s="34"/>
    </row>
    <row r="399">
      <c r="A399" s="36">
        <v>45565</v>
      </c>
      <c r="D399" s="1" t="s">
        <v>12</v>
      </c>
      <c r="E399" s="32">
        <v>8100</v>
      </c>
      <c r="F399" s="32">
        <f t="shared" si="18"/>
        <v>5257574.8760875221</v>
      </c>
      <c r="H399" s="33">
        <f t="shared" si="19"/>
        <v>1.2</v>
      </c>
      <c r="I399" s="32">
        <f t="shared" si="20"/>
        <v>212533.2579558237</v>
      </c>
      <c r="N399" s="34"/>
    </row>
    <row r="400">
      <c r="A400" s="36">
        <v>45565</v>
      </c>
      <c r="D400" s="1" t="s">
        <v>12</v>
      </c>
      <c r="E400" s="32">
        <v>976.23000000000002</v>
      </c>
      <c r="F400" s="32">
        <f t="shared" si="18"/>
        <v>5258551.1060875226</v>
      </c>
      <c r="H400" s="33">
        <f t="shared" si="19"/>
        <v>1.2</v>
      </c>
      <c r="I400" s="32">
        <f t="shared" si="20"/>
        <v>211326.6376758237</v>
      </c>
      <c r="N400" s="34"/>
    </row>
    <row r="401">
      <c r="A401" s="36">
        <v>45577</v>
      </c>
      <c r="E401" s="32"/>
      <c r="F401" s="32">
        <f t="shared" si="18"/>
        <v>5258551.1060875226</v>
      </c>
      <c r="G401" s="32">
        <v>99981.610000000001</v>
      </c>
      <c r="H401" s="33">
        <f t="shared" si="19"/>
        <v>1.2</v>
      </c>
      <c r="I401" s="32">
        <f t="shared" si="20"/>
        <v>311308.24767582369</v>
      </c>
      <c r="N401" s="34"/>
    </row>
    <row r="402">
      <c r="A402" s="36">
        <v>45524</v>
      </c>
      <c r="D402" s="1" t="s">
        <v>12</v>
      </c>
      <c r="E402" s="32">
        <v>24349.150000000001</v>
      </c>
      <c r="F402" s="32">
        <f t="shared" si="18"/>
        <v>5282900.256087523</v>
      </c>
      <c r="G402" s="32"/>
      <c r="H402" s="33">
        <f t="shared" si="19"/>
        <v>1.2</v>
      </c>
      <c r="I402" s="32">
        <f t="shared" si="20"/>
        <v>281212.69827582367</v>
      </c>
      <c r="N402" s="34"/>
    </row>
    <row r="403">
      <c r="A403" s="36">
        <v>45574</v>
      </c>
      <c r="E403" s="32">
        <v>194.38999999999999</v>
      </c>
      <c r="F403" s="32">
        <f t="shared" si="18"/>
        <v>5283094.6460875226</v>
      </c>
      <c r="G403" s="32"/>
      <c r="H403" s="33">
        <f t="shared" si="19"/>
        <v>1.2</v>
      </c>
      <c r="I403" s="32">
        <f t="shared" si="20"/>
        <v>280979.43027582369</v>
      </c>
      <c r="N403" s="34"/>
    </row>
    <row r="404">
      <c r="A404" s="36">
        <v>45579</v>
      </c>
      <c r="D404" s="1" t="s">
        <v>12</v>
      </c>
      <c r="E404" s="32">
        <v>470.26999999999998</v>
      </c>
      <c r="F404" s="32">
        <f t="shared" si="18"/>
        <v>5283564.9160875222</v>
      </c>
      <c r="G404" s="32"/>
      <c r="H404" s="33">
        <f t="shared" si="19"/>
        <v>1.2</v>
      </c>
      <c r="I404" s="32">
        <f t="shared" si="20"/>
        <v>280398.17655582371</v>
      </c>
      <c r="N404" s="34"/>
    </row>
    <row r="405">
      <c r="A405" s="36">
        <v>45579</v>
      </c>
      <c r="D405" s="1" t="s">
        <v>12</v>
      </c>
      <c r="E405" s="32">
        <v>95.219999999999999</v>
      </c>
      <c r="F405" s="32">
        <f t="shared" si="18"/>
        <v>5283660.1360875219</v>
      </c>
      <c r="G405" s="32"/>
      <c r="H405" s="33">
        <f t="shared" si="19"/>
        <v>1.2</v>
      </c>
      <c r="I405" s="32">
        <f t="shared" si="20"/>
        <v>280280.4846358237</v>
      </c>
      <c r="N405" s="34"/>
    </row>
    <row r="406">
      <c r="A406" s="36">
        <v>45581</v>
      </c>
      <c r="D406" s="1" t="s">
        <v>12</v>
      </c>
      <c r="E406" s="32">
        <v>376.5</v>
      </c>
      <c r="F406" s="32">
        <f t="shared" si="18"/>
        <v>5284036.6360875219</v>
      </c>
      <c r="G406" s="32"/>
      <c r="H406" s="33">
        <f t="shared" si="19"/>
        <v>1.2</v>
      </c>
      <c r="I406" s="32">
        <f t="shared" si="20"/>
        <v>279815.13063582371</v>
      </c>
      <c r="N406" s="34"/>
    </row>
    <row r="407">
      <c r="A407" s="36">
        <v>45581</v>
      </c>
      <c r="D407" s="1" t="s">
        <v>12</v>
      </c>
      <c r="E407" s="32">
        <v>376.5</v>
      </c>
      <c r="F407" s="32">
        <f t="shared" si="18"/>
        <v>5284413.1360875219</v>
      </c>
      <c r="G407" s="32"/>
      <c r="H407" s="33">
        <f t="shared" si="19"/>
        <v>1.2</v>
      </c>
      <c r="I407" s="32">
        <f t="shared" si="20"/>
        <v>279349.77663582371</v>
      </c>
      <c r="N407" s="34"/>
    </row>
    <row r="408">
      <c r="A408" s="36">
        <v>45586</v>
      </c>
      <c r="D408" s="1" t="s">
        <v>12</v>
      </c>
      <c r="E408" s="32">
        <v>5130.0500000000002</v>
      </c>
      <c r="F408" s="32">
        <f t="shared" si="18"/>
        <v>5289543.1860875217</v>
      </c>
      <c r="G408" s="32"/>
      <c r="H408" s="33">
        <f t="shared" si="19"/>
        <v>1.2</v>
      </c>
      <c r="I408" s="32">
        <f t="shared" si="20"/>
        <v>273009.0348358237</v>
      </c>
      <c r="N408" s="34"/>
    </row>
    <row r="409">
      <c r="A409" s="36">
        <v>45588</v>
      </c>
      <c r="D409" s="1" t="s">
        <v>12</v>
      </c>
      <c r="E409" s="32">
        <v>9030.3999999999996</v>
      </c>
      <c r="F409" s="32">
        <f t="shared" si="18"/>
        <v>5298573.5860875221</v>
      </c>
      <c r="G409" s="32"/>
      <c r="H409" s="33">
        <f t="shared" si="19"/>
        <v>1.2</v>
      </c>
      <c r="I409" s="32">
        <f t="shared" si="20"/>
        <v>261847.46043582368</v>
      </c>
      <c r="N409" s="34"/>
    </row>
    <row r="410">
      <c r="A410" s="36">
        <v>45588</v>
      </c>
      <c r="D410" s="1" t="s">
        <v>12</v>
      </c>
      <c r="E410" s="32">
        <v>320</v>
      </c>
      <c r="F410" s="32">
        <f t="shared" si="18"/>
        <v>5298893.5860875221</v>
      </c>
      <c r="G410" s="32"/>
      <c r="H410" s="33">
        <f t="shared" si="19"/>
        <v>1.2</v>
      </c>
      <c r="I410" s="32">
        <f t="shared" si="20"/>
        <v>261451.94043582369</v>
      </c>
      <c r="N410" s="34"/>
    </row>
    <row r="411">
      <c r="A411" s="36">
        <v>45590</v>
      </c>
      <c r="D411" s="1" t="s">
        <v>12</v>
      </c>
      <c r="E411" s="32">
        <v>1575</v>
      </c>
      <c r="F411" s="32">
        <f t="shared" si="18"/>
        <v>5300468.5860875221</v>
      </c>
      <c r="G411" s="32"/>
      <c r="H411" s="33">
        <f t="shared" si="19"/>
        <v>1.2</v>
      </c>
      <c r="I411" s="32">
        <f t="shared" si="20"/>
        <v>259505.24043582368</v>
      </c>
      <c r="N411" s="34"/>
    </row>
    <row r="412">
      <c r="A412" s="36">
        <v>45590</v>
      </c>
      <c r="D412" s="1" t="s">
        <v>12</v>
      </c>
      <c r="E412" s="32">
        <v>546</v>
      </c>
      <c r="F412" s="32">
        <f t="shared" si="18"/>
        <v>5301014.5860875221</v>
      </c>
      <c r="G412" s="32"/>
      <c r="H412" s="33">
        <f t="shared" si="19"/>
        <v>1.2</v>
      </c>
      <c r="I412" s="32">
        <f t="shared" si="20"/>
        <v>258830.38443582368</v>
      </c>
      <c r="N412" s="34"/>
    </row>
    <row r="413">
      <c r="A413" s="36">
        <v>45596</v>
      </c>
      <c r="D413" s="1" t="s">
        <v>12</v>
      </c>
      <c r="E413" s="32">
        <v>4842.1099999999997</v>
      </c>
      <c r="F413" s="32">
        <f t="shared" si="18"/>
        <v>5305856.6960875224</v>
      </c>
      <c r="G413" s="32"/>
      <c r="H413" s="33">
        <f t="shared" si="19"/>
        <v>1.2</v>
      </c>
      <c r="I413" s="32">
        <f t="shared" si="20"/>
        <v>252845.53647582367</v>
      </c>
      <c r="N413" s="34"/>
    </row>
    <row r="414">
      <c r="A414" s="36">
        <v>45596</v>
      </c>
      <c r="C414" s="37"/>
      <c r="D414" s="1" t="s">
        <v>12</v>
      </c>
      <c r="E414" s="32">
        <v>2097.9000000000001</v>
      </c>
      <c r="F414" s="32">
        <f t="shared" si="18"/>
        <v>5307954.5960875228</v>
      </c>
      <c r="G414" s="32"/>
      <c r="H414" s="33">
        <f t="shared" si="19"/>
        <v>1.2</v>
      </c>
      <c r="I414" s="32">
        <f t="shared" si="20"/>
        <v>250252.53207582366</v>
      </c>
      <c r="N414" s="34"/>
    </row>
    <row r="415">
      <c r="A415" s="36">
        <v>45596</v>
      </c>
      <c r="E415" s="32">
        <v>13640</v>
      </c>
      <c r="F415" s="32">
        <f t="shared" si="18"/>
        <v>5321594.5960875228</v>
      </c>
      <c r="G415" s="32"/>
      <c r="H415" s="33">
        <f t="shared" si="19"/>
        <v>1.2</v>
      </c>
      <c r="I415" s="32">
        <f t="shared" si="20"/>
        <v>233884.53207582366</v>
      </c>
      <c r="N415" s="34"/>
    </row>
    <row r="416">
      <c r="A416" s="36">
        <v>45596</v>
      </c>
      <c r="D416" s="1" t="s">
        <v>12</v>
      </c>
      <c r="E416" s="32">
        <f>70000*2.09*0.3</f>
        <v>43890</v>
      </c>
      <c r="F416" s="32">
        <f t="shared" si="18"/>
        <v>5365484.5960875228</v>
      </c>
      <c r="G416" s="32"/>
      <c r="H416" s="33">
        <f t="shared" si="19"/>
        <v>1.2</v>
      </c>
      <c r="I416" s="32">
        <f t="shared" si="20"/>
        <v>179636.49207582365</v>
      </c>
      <c r="N416" s="34"/>
    </row>
    <row r="417">
      <c r="A417" s="36">
        <v>45596</v>
      </c>
      <c r="D417" s="1" t="s">
        <v>12</v>
      </c>
      <c r="E417" s="32">
        <v>10400</v>
      </c>
      <c r="F417" s="32">
        <f t="shared" si="18"/>
        <v>5375884.5960875228</v>
      </c>
      <c r="G417" s="32"/>
      <c r="H417" s="33">
        <f t="shared" si="19"/>
        <v>1.2</v>
      </c>
      <c r="I417" s="32">
        <f t="shared" si="20"/>
        <v>166782.09207582366</v>
      </c>
      <c r="N417" s="34"/>
    </row>
    <row r="418">
      <c r="A418" s="36">
        <v>45596</v>
      </c>
      <c r="D418" s="1" t="s">
        <v>12</v>
      </c>
      <c r="E418" s="32">
        <v>4080</v>
      </c>
      <c r="F418" s="32">
        <f t="shared" si="18"/>
        <v>5379964.5960875228</v>
      </c>
      <c r="G418" s="32"/>
      <c r="H418" s="33">
        <f t="shared" si="19"/>
        <v>1.2</v>
      </c>
      <c r="I418" s="32">
        <f t="shared" si="20"/>
        <v>161739.21207582366</v>
      </c>
      <c r="N418" s="34"/>
    </row>
    <row r="419">
      <c r="A419" s="36">
        <v>45597</v>
      </c>
      <c r="D419" s="1" t="s">
        <v>12</v>
      </c>
      <c r="E419" s="32">
        <v>2175</v>
      </c>
      <c r="F419" s="32">
        <f t="shared" si="18"/>
        <v>5382139.5960875228</v>
      </c>
      <c r="G419" s="32"/>
      <c r="H419" s="33">
        <f t="shared" si="19"/>
        <v>1.2</v>
      </c>
      <c r="I419" s="32">
        <f t="shared" si="20"/>
        <v>159050.91207582367</v>
      </c>
      <c r="N419" s="34"/>
    </row>
    <row r="420">
      <c r="A420" s="36">
        <v>45598</v>
      </c>
      <c r="C420" s="37"/>
      <c r="E420" s="32"/>
      <c r="F420" s="32">
        <f t="shared" ref="F420:F443" si="21">SUM($E$11:E420)</f>
        <v>5382139.5960875228</v>
      </c>
      <c r="G420" s="32">
        <v>42323.739999999998</v>
      </c>
      <c r="H420" s="33">
        <f t="shared" ref="H420:H443" si="22">IF(F420/$H$7&lt;50000,$N$1,IF(F420/$H$7&lt;100000,$N$2,IF(F420/$H$7&lt;150000,$N$3,IF(F420/$H$7&lt;200000,$N$4,IF(F420/$H$7&lt;250000,$N$5,$N$6)))))</f>
        <v>1.2</v>
      </c>
      <c r="I420" s="32">
        <f>G420+I418-E420*IF(D420="P",1.03,1)*H420</f>
        <v>204062.95207582365</v>
      </c>
      <c r="N420" s="34"/>
    </row>
    <row r="421">
      <c r="A421" s="36">
        <v>45598</v>
      </c>
      <c r="E421" s="32"/>
      <c r="F421" s="32">
        <f t="shared" si="21"/>
        <v>5382139.5960875228</v>
      </c>
      <c r="G421" s="32">
        <v>19500</v>
      </c>
      <c r="H421" s="33">
        <f t="shared" si="22"/>
        <v>1.2</v>
      </c>
      <c r="I421" s="32">
        <f t="shared" ref="I421:I443" si="23">G421+I420-E421*IF(D421="P",1.03,1)*H421</f>
        <v>223562.95207582365</v>
      </c>
      <c r="N421" s="34"/>
    </row>
    <row r="422">
      <c r="A422" s="36">
        <v>45601</v>
      </c>
      <c r="E422" s="32"/>
      <c r="F422" s="32">
        <f t="shared" si="21"/>
        <v>5382139.5960875228</v>
      </c>
      <c r="G422" s="32">
        <v>73924.089999999997</v>
      </c>
      <c r="H422" s="33">
        <f t="shared" si="22"/>
        <v>1.2</v>
      </c>
      <c r="I422" s="32">
        <f t="shared" si="23"/>
        <v>297487.04207582364</v>
      </c>
      <c r="N422" s="34"/>
    </row>
    <row r="423">
      <c r="A423" s="36">
        <v>45601</v>
      </c>
      <c r="D423" s="1" t="s">
        <v>12</v>
      </c>
      <c r="E423" s="32">
        <v>236.53999999999999</v>
      </c>
      <c r="F423" s="32">
        <f t="shared" si="21"/>
        <v>5382376.1360875228</v>
      </c>
      <c r="G423" s="32"/>
      <c r="H423" s="33">
        <f t="shared" si="22"/>
        <v>1.2</v>
      </c>
      <c r="I423" s="32">
        <f t="shared" si="23"/>
        <v>297194.67863582366</v>
      </c>
      <c r="N423" s="34"/>
    </row>
    <row r="424">
      <c r="A424" s="36">
        <v>45602</v>
      </c>
      <c r="C424" s="37"/>
      <c r="D424" s="1" t="s">
        <v>12</v>
      </c>
      <c r="E424" s="32">
        <v>5055.8000000000002</v>
      </c>
      <c r="F424" s="32">
        <f t="shared" si="21"/>
        <v>5387431.9360875227</v>
      </c>
      <c r="G424" s="32"/>
      <c r="H424" s="33">
        <f t="shared" si="22"/>
        <v>1.2</v>
      </c>
      <c r="I424" s="32">
        <f t="shared" si="23"/>
        <v>290945.70983582368</v>
      </c>
      <c r="N424" s="34"/>
    </row>
    <row r="425">
      <c r="A425" s="36"/>
      <c r="E425" s="32"/>
      <c r="F425" s="32">
        <f t="shared" si="21"/>
        <v>5387431.9360875227</v>
      </c>
      <c r="G425" s="32"/>
      <c r="H425" s="33">
        <f t="shared" si="22"/>
        <v>1.2</v>
      </c>
      <c r="I425" s="32">
        <f t="shared" si="23"/>
        <v>290945.70983582368</v>
      </c>
      <c r="N425" s="34"/>
    </row>
    <row r="426">
      <c r="A426" s="36"/>
      <c r="E426" s="32"/>
      <c r="F426" s="32">
        <f t="shared" si="21"/>
        <v>5387431.9360875227</v>
      </c>
      <c r="G426" s="32"/>
      <c r="H426" s="33">
        <f t="shared" si="22"/>
        <v>1.2</v>
      </c>
      <c r="I426" s="32">
        <f t="shared" si="23"/>
        <v>290945.70983582368</v>
      </c>
      <c r="N426" s="34"/>
    </row>
    <row r="427">
      <c r="A427" s="36"/>
      <c r="E427" s="32"/>
      <c r="F427" s="32">
        <f t="shared" si="21"/>
        <v>5387431.9360875227</v>
      </c>
      <c r="G427" s="32"/>
      <c r="H427" s="33">
        <f t="shared" si="22"/>
        <v>1.2</v>
      </c>
      <c r="I427" s="32">
        <f t="shared" si="23"/>
        <v>290945.70983582368</v>
      </c>
      <c r="N427" s="34"/>
    </row>
    <row r="428">
      <c r="A428" s="36"/>
      <c r="C428" s="37"/>
      <c r="E428" s="32"/>
      <c r="F428" s="32">
        <f t="shared" si="21"/>
        <v>5387431.9360875227</v>
      </c>
      <c r="G428" s="32"/>
      <c r="H428" s="33">
        <f t="shared" si="22"/>
        <v>1.2</v>
      </c>
      <c r="I428" s="32">
        <f t="shared" si="23"/>
        <v>290945.70983582368</v>
      </c>
      <c r="N428" s="34"/>
    </row>
    <row r="429">
      <c r="E429" s="32"/>
      <c r="F429" s="32">
        <f t="shared" si="21"/>
        <v>5387431.9360875227</v>
      </c>
      <c r="G429" s="32"/>
      <c r="H429" s="33">
        <f t="shared" si="22"/>
        <v>1.2</v>
      </c>
      <c r="I429" s="32">
        <f t="shared" si="23"/>
        <v>290945.70983582368</v>
      </c>
      <c r="N429" s="34"/>
    </row>
    <row r="430">
      <c r="A430" s="40" t="s">
        <v>29</v>
      </c>
      <c r="B430" s="41"/>
      <c r="C430" s="41"/>
      <c r="D430" s="42"/>
      <c r="E430" s="43"/>
      <c r="F430" s="43">
        <f t="shared" si="21"/>
        <v>5387431.9360875227</v>
      </c>
      <c r="G430" s="43"/>
      <c r="H430" s="33">
        <f t="shared" si="22"/>
        <v>1.2</v>
      </c>
      <c r="I430" s="32">
        <f t="shared" si="23"/>
        <v>290945.70983582368</v>
      </c>
      <c r="J430" s="41"/>
      <c r="N430" s="34"/>
    </row>
    <row r="431">
      <c r="A431" s="44" t="s">
        <v>30</v>
      </c>
      <c r="E431" s="32"/>
      <c r="F431" s="32">
        <f t="shared" si="21"/>
        <v>5387431.9360875227</v>
      </c>
      <c r="G431" s="32"/>
      <c r="H431" s="33">
        <f t="shared" si="22"/>
        <v>1.2</v>
      </c>
      <c r="I431" s="32">
        <f t="shared" si="23"/>
        <v>290945.70983582368</v>
      </c>
      <c r="N431" s="34"/>
    </row>
    <row r="432">
      <c r="A432" s="36"/>
      <c r="E432" s="32"/>
      <c r="F432" s="32">
        <f t="shared" si="21"/>
        <v>5387431.9360875227</v>
      </c>
      <c r="G432" s="32"/>
      <c r="H432" s="33">
        <f t="shared" si="22"/>
        <v>1.2</v>
      </c>
      <c r="I432" s="32">
        <f t="shared" si="23"/>
        <v>290945.70983582368</v>
      </c>
      <c r="K432" s="32"/>
      <c r="L432" s="2"/>
      <c r="N432" s="34"/>
    </row>
    <row r="433">
      <c r="A433" s="36"/>
      <c r="E433" s="32"/>
      <c r="F433" s="32">
        <f t="shared" si="21"/>
        <v>5387431.9360875227</v>
      </c>
      <c r="G433" s="32"/>
      <c r="H433" s="33">
        <f t="shared" si="22"/>
        <v>1.2</v>
      </c>
      <c r="I433" s="32">
        <f t="shared" si="23"/>
        <v>290945.70983582368</v>
      </c>
      <c r="N433" s="34"/>
    </row>
    <row r="434">
      <c r="A434" s="36"/>
      <c r="E434" s="32"/>
      <c r="F434" s="32">
        <f t="shared" si="21"/>
        <v>5387431.9360875227</v>
      </c>
      <c r="G434" s="32"/>
      <c r="H434" s="33">
        <f t="shared" si="22"/>
        <v>1.2</v>
      </c>
      <c r="I434" s="32">
        <f t="shared" si="23"/>
        <v>290945.70983582368</v>
      </c>
      <c r="K434" s="32"/>
      <c r="L434" s="2"/>
      <c r="N434" s="34"/>
    </row>
    <row r="435">
      <c r="A435" s="36"/>
      <c r="E435" s="32"/>
      <c r="F435" s="32">
        <f t="shared" si="21"/>
        <v>5387431.9360875227</v>
      </c>
      <c r="G435" s="32"/>
      <c r="H435" s="33">
        <f t="shared" si="22"/>
        <v>1.2</v>
      </c>
      <c r="I435" s="32">
        <f t="shared" si="23"/>
        <v>290945.70983582368</v>
      </c>
      <c r="K435" s="32"/>
      <c r="L435" s="2"/>
      <c r="N435" s="34"/>
    </row>
    <row r="436">
      <c r="A436" s="36"/>
      <c r="E436" s="32"/>
      <c r="F436" s="32">
        <f t="shared" si="21"/>
        <v>5387431.9360875227</v>
      </c>
      <c r="G436" s="32"/>
      <c r="H436" s="33">
        <f t="shared" si="22"/>
        <v>1.2</v>
      </c>
      <c r="I436" s="32">
        <f t="shared" si="23"/>
        <v>290945.70983582368</v>
      </c>
      <c r="K436" s="32"/>
      <c r="L436" s="2"/>
      <c r="N436" s="34"/>
    </row>
    <row r="437">
      <c r="A437" s="36"/>
      <c r="E437" s="32"/>
      <c r="F437" s="32">
        <f t="shared" si="21"/>
        <v>5387431.9360875227</v>
      </c>
      <c r="G437" s="32"/>
      <c r="H437" s="33">
        <f t="shared" si="22"/>
        <v>1.2</v>
      </c>
      <c r="I437" s="32">
        <f t="shared" si="23"/>
        <v>290945.70983582368</v>
      </c>
      <c r="K437" s="32"/>
      <c r="L437" s="2"/>
      <c r="N437" s="34"/>
    </row>
    <row r="438">
      <c r="A438" s="36"/>
      <c r="E438" s="32"/>
      <c r="F438" s="32">
        <f t="shared" si="21"/>
        <v>5387431.9360875227</v>
      </c>
      <c r="G438" s="32"/>
      <c r="H438" s="33">
        <f t="shared" si="22"/>
        <v>1.2</v>
      </c>
      <c r="I438" s="32">
        <f t="shared" si="23"/>
        <v>290945.70983582368</v>
      </c>
      <c r="K438" s="32"/>
      <c r="L438" s="2"/>
      <c r="N438" s="34"/>
    </row>
    <row r="439">
      <c r="A439" s="36"/>
      <c r="E439" s="32"/>
      <c r="F439" s="32">
        <f t="shared" si="21"/>
        <v>5387431.9360875227</v>
      </c>
      <c r="G439" s="32"/>
      <c r="H439" s="33">
        <f t="shared" si="22"/>
        <v>1.2</v>
      </c>
      <c r="I439" s="32">
        <f t="shared" si="23"/>
        <v>290945.70983582368</v>
      </c>
      <c r="K439" s="32"/>
      <c r="L439" s="2"/>
      <c r="N439" s="34"/>
    </row>
    <row r="440">
      <c r="A440" s="36"/>
      <c r="E440" s="32"/>
      <c r="F440" s="32">
        <f t="shared" si="21"/>
        <v>5387431.9360875227</v>
      </c>
      <c r="G440" s="32"/>
      <c r="H440" s="33">
        <f t="shared" si="22"/>
        <v>1.2</v>
      </c>
      <c r="I440" s="32">
        <f t="shared" si="23"/>
        <v>290945.70983582368</v>
      </c>
      <c r="K440" s="32"/>
      <c r="L440" s="2"/>
      <c r="N440" s="34"/>
    </row>
    <row r="441">
      <c r="A441" s="36"/>
      <c r="E441" s="32"/>
      <c r="F441" s="32">
        <f t="shared" si="21"/>
        <v>5387431.9360875227</v>
      </c>
      <c r="G441" s="32"/>
      <c r="H441" s="33">
        <f t="shared" si="22"/>
        <v>1.2</v>
      </c>
      <c r="I441" s="32">
        <f t="shared" si="23"/>
        <v>290945.70983582368</v>
      </c>
      <c r="K441" s="32"/>
      <c r="L441" s="2"/>
      <c r="N441" s="34"/>
    </row>
    <row r="442">
      <c r="A442" s="36"/>
      <c r="E442" s="32"/>
      <c r="F442" s="32">
        <f t="shared" si="21"/>
        <v>5387431.9360875227</v>
      </c>
      <c r="G442" s="32"/>
      <c r="H442" s="33">
        <f t="shared" si="22"/>
        <v>1.2</v>
      </c>
      <c r="I442" s="32">
        <f t="shared" si="23"/>
        <v>290945.70983582368</v>
      </c>
      <c r="K442" s="32"/>
      <c r="L442" s="2"/>
      <c r="N442" s="34"/>
    </row>
    <row r="443">
      <c r="A443" s="36"/>
      <c r="E443" s="32"/>
      <c r="F443" s="32">
        <f t="shared" si="21"/>
        <v>5387431.9360875227</v>
      </c>
      <c r="G443" s="32"/>
      <c r="H443" s="33">
        <f t="shared" si="22"/>
        <v>1.2</v>
      </c>
      <c r="I443" s="32">
        <f t="shared" si="23"/>
        <v>290945.70983582368</v>
      </c>
      <c r="K443" s="32"/>
      <c r="L443" s="2"/>
      <c r="N443" s="34"/>
    </row>
    <row r="444">
      <c r="E444" s="31"/>
      <c r="F444" s="32"/>
      <c r="G444" s="31"/>
      <c r="H444" s="32"/>
      <c r="I444" s="32"/>
    </row>
    <row r="445">
      <c r="E445" s="31"/>
      <c r="F445" s="32"/>
      <c r="G445" s="31"/>
      <c r="H445" s="32"/>
      <c r="I445" s="31"/>
    </row>
    <row r="446">
      <c r="E446" s="31"/>
      <c r="F446" s="32"/>
      <c r="G446" s="31"/>
      <c r="H446" s="32"/>
      <c r="I446" s="31"/>
    </row>
    <row r="447">
      <c r="E447" s="31"/>
      <c r="F447" s="32"/>
      <c r="G447" s="31"/>
      <c r="H447" s="32"/>
      <c r="I447" s="31"/>
      <c r="O447" s="32"/>
      <c r="P447" s="32"/>
      <c r="Q447" s="32"/>
      <c r="S447" s="32"/>
      <c r="T447" s="32"/>
    </row>
    <row r="448">
      <c r="E448" s="31"/>
      <c r="F448" s="32"/>
      <c r="G448" s="31"/>
      <c r="H448" s="32"/>
      <c r="I448" s="31"/>
    </row>
    <row r="449">
      <c r="B449" s="22"/>
      <c r="E449" s="31"/>
      <c r="F449" s="32"/>
      <c r="G449" s="31"/>
      <c r="H449" s="32"/>
      <c r="I449" s="31"/>
      <c r="J449" s="2"/>
    </row>
    <row r="450">
      <c r="A450" s="36"/>
      <c r="E450" s="32"/>
      <c r="F450" s="32"/>
      <c r="G450" s="32"/>
      <c r="H450" s="32"/>
      <c r="I450" s="32"/>
    </row>
    <row r="451">
      <c r="E451" s="45"/>
      <c r="F451" s="45"/>
      <c r="G451" s="31"/>
      <c r="H451" s="32"/>
      <c r="I451" s="32"/>
    </row>
    <row r="452">
      <c r="E452" s="45"/>
      <c r="F452" s="45"/>
      <c r="G452" s="2"/>
      <c r="H452" s="2"/>
      <c r="I452" s="32"/>
    </row>
    <row r="453">
      <c r="E453" s="45"/>
      <c r="F453" s="45"/>
      <c r="G453" s="32"/>
      <c r="H453" s="32"/>
      <c r="I453" s="32"/>
    </row>
    <row r="454">
      <c r="E454" s="45"/>
      <c r="F454" s="45"/>
      <c r="G454" s="31"/>
      <c r="H454" s="32"/>
      <c r="I454" s="32"/>
    </row>
    <row r="455">
      <c r="E455" s="45"/>
      <c r="F455" s="45"/>
      <c r="G455" s="31"/>
      <c r="H455" s="32"/>
      <c r="I455" s="31"/>
    </row>
    <row r="456">
      <c r="E456" s="45"/>
      <c r="F456" s="45"/>
      <c r="G456" s="32"/>
      <c r="H456" s="32"/>
      <c r="I456" s="31"/>
    </row>
    <row r="457">
      <c r="C457" s="28"/>
      <c r="E457" s="31"/>
      <c r="F457" s="32"/>
      <c r="G457" s="31"/>
      <c r="H457" s="32"/>
      <c r="I457" s="31"/>
    </row>
    <row r="458">
      <c r="E458" s="31"/>
      <c r="F458" s="32"/>
      <c r="G458" s="31"/>
      <c r="H458" s="32"/>
      <c r="I458" s="31"/>
    </row>
    <row r="459">
      <c r="C459" s="28"/>
      <c r="E459" s="31"/>
      <c r="F459" s="32"/>
      <c r="G459" s="31"/>
      <c r="H459" s="32"/>
      <c r="I459" s="31"/>
    </row>
    <row r="460">
      <c r="E460" s="31"/>
      <c r="F460" s="32"/>
      <c r="G460" s="31"/>
      <c r="H460" s="32"/>
      <c r="I460" s="31"/>
    </row>
    <row r="461">
      <c r="E461" s="31"/>
      <c r="F461" s="32"/>
      <c r="G461" s="31"/>
      <c r="H461" s="32"/>
      <c r="I461" s="31"/>
    </row>
    <row r="462">
      <c r="E462" s="31"/>
      <c r="F462" s="32"/>
      <c r="G462" s="31"/>
      <c r="H462" s="32"/>
      <c r="I462" s="31"/>
    </row>
    <row r="463">
      <c r="E463" s="31"/>
      <c r="F463" s="32"/>
      <c r="G463" s="31"/>
      <c r="H463" s="32"/>
      <c r="I463" s="31"/>
    </row>
    <row r="464">
      <c r="E464" s="31"/>
      <c r="F464" s="32"/>
      <c r="G464" s="31"/>
      <c r="H464" s="32"/>
      <c r="I464" s="31"/>
    </row>
    <row r="465">
      <c r="E465" s="31"/>
      <c r="F465" s="32"/>
      <c r="G465" s="31"/>
      <c r="H465" s="32"/>
      <c r="I465" s="31"/>
    </row>
    <row r="466">
      <c r="E466" s="31"/>
      <c r="F466" s="32"/>
      <c r="G466" s="31"/>
      <c r="H466" s="32"/>
      <c r="I466" s="31"/>
    </row>
    <row r="467">
      <c r="E467" s="31"/>
      <c r="F467" s="32"/>
      <c r="G467" s="31"/>
      <c r="H467" s="32"/>
      <c r="I467" s="31"/>
    </row>
    <row r="468">
      <c r="E468" s="31"/>
      <c r="F468" s="32"/>
      <c r="G468" s="31"/>
      <c r="H468" s="32"/>
      <c r="I468" s="31"/>
    </row>
    <row r="469">
      <c r="E469" s="31"/>
      <c r="F469" s="32"/>
      <c r="G469" s="31"/>
      <c r="H469" s="32"/>
      <c r="I469" s="31"/>
    </row>
    <row r="470">
      <c r="E470" s="31"/>
      <c r="F470" s="32"/>
      <c r="G470" s="31"/>
      <c r="H470" s="32"/>
      <c r="I470" s="31"/>
    </row>
    <row r="471">
      <c r="E471" s="31"/>
      <c r="F471" s="32"/>
      <c r="G471" s="31"/>
      <c r="H471" s="32"/>
      <c r="I471" s="31"/>
    </row>
    <row r="472">
      <c r="E472" s="31"/>
      <c r="F472" s="32"/>
      <c r="G472" s="31"/>
      <c r="H472" s="32"/>
      <c r="I472" s="31"/>
    </row>
    <row r="473">
      <c r="E473" s="31"/>
      <c r="F473" s="32"/>
      <c r="G473" s="31"/>
      <c r="H473" s="32"/>
      <c r="I473" s="31"/>
    </row>
    <row r="474">
      <c r="E474" s="31"/>
      <c r="F474" s="32"/>
      <c r="G474" s="31"/>
      <c r="H474" s="32"/>
      <c r="I474" s="31"/>
    </row>
    <row r="475">
      <c r="E475" s="31"/>
      <c r="F475" s="32"/>
      <c r="G475" s="31"/>
      <c r="H475" s="32"/>
      <c r="I475" s="31"/>
    </row>
    <row r="476">
      <c r="E476" s="31"/>
      <c r="F476" s="32"/>
      <c r="G476" s="31"/>
      <c r="H476" s="32"/>
      <c r="I476" s="31"/>
    </row>
    <row r="477">
      <c r="E477" s="31"/>
      <c r="F477" s="32"/>
      <c r="G477" s="31"/>
      <c r="H477" s="32"/>
      <c r="I477" s="31"/>
    </row>
    <row r="478">
      <c r="E478" s="31"/>
      <c r="F478" s="32"/>
      <c r="G478" s="31"/>
      <c r="H478" s="32"/>
      <c r="I478" s="31"/>
    </row>
    <row r="479">
      <c r="E479" s="31"/>
      <c r="F479" s="32"/>
      <c r="G479" s="31"/>
      <c r="H479" s="32"/>
      <c r="I479" s="31"/>
    </row>
    <row r="480">
      <c r="E480" s="31"/>
      <c r="F480" s="32"/>
      <c r="G480" s="31"/>
      <c r="H480" s="32"/>
      <c r="I480" s="31"/>
    </row>
    <row r="481">
      <c r="E481" s="31"/>
      <c r="F481" s="32"/>
      <c r="G481" s="31"/>
      <c r="H481" s="32"/>
      <c r="I481" s="31"/>
    </row>
    <row r="482">
      <c r="E482" s="31"/>
      <c r="F482" s="32"/>
      <c r="G482" s="31"/>
      <c r="H482" s="32"/>
      <c r="I482" s="31"/>
    </row>
    <row r="483">
      <c r="E483" s="31"/>
      <c r="F483" s="32"/>
      <c r="G483" s="31"/>
      <c r="H483" s="32"/>
      <c r="I483" s="31"/>
    </row>
    <row r="484">
      <c r="E484" s="31"/>
      <c r="F484" s="32"/>
      <c r="G484" s="31"/>
      <c r="H484" s="32"/>
      <c r="I484" s="31"/>
    </row>
    <row r="485">
      <c r="E485" s="31"/>
      <c r="F485" s="32"/>
      <c r="G485" s="31"/>
      <c r="H485" s="32"/>
      <c r="I485" s="31"/>
    </row>
    <row r="486">
      <c r="E486" s="31"/>
      <c r="F486" s="32"/>
      <c r="G486" s="31"/>
      <c r="H486" s="32"/>
      <c r="I486" s="31"/>
    </row>
    <row r="487">
      <c r="E487" s="31"/>
      <c r="F487" s="32"/>
      <c r="G487" s="31"/>
      <c r="H487" s="32"/>
      <c r="I487" s="31"/>
    </row>
    <row r="488">
      <c r="E488" s="31"/>
      <c r="F488" s="32"/>
      <c r="G488" s="31"/>
      <c r="H488" s="32"/>
      <c r="I488" s="31"/>
    </row>
    <row r="489">
      <c r="E489" s="31"/>
      <c r="F489" s="32"/>
      <c r="G489" s="31"/>
      <c r="H489" s="32"/>
      <c r="I489" s="31"/>
    </row>
    <row r="490">
      <c r="E490" s="31"/>
      <c r="F490" s="32"/>
      <c r="G490" s="31"/>
      <c r="H490" s="32"/>
      <c r="I490" s="31"/>
    </row>
    <row r="491">
      <c r="E491" s="31"/>
      <c r="F491" s="32"/>
      <c r="G491" s="31"/>
      <c r="H491" s="32"/>
      <c r="I491" s="31"/>
    </row>
    <row r="492">
      <c r="E492" s="31"/>
      <c r="F492" s="32"/>
      <c r="G492" s="31"/>
      <c r="H492" s="32"/>
      <c r="I492" s="31"/>
    </row>
    <row r="493">
      <c r="E493" s="31"/>
      <c r="F493" s="32"/>
      <c r="G493" s="31"/>
      <c r="H493" s="32"/>
      <c r="I493" s="31"/>
    </row>
    <row r="494">
      <c r="E494" s="31"/>
      <c r="F494" s="32"/>
      <c r="G494" s="31"/>
      <c r="H494" s="32"/>
      <c r="I494" s="31"/>
    </row>
    <row r="495">
      <c r="E495" s="31"/>
      <c r="F495" s="32"/>
      <c r="G495" s="31"/>
      <c r="H495" s="32"/>
      <c r="I495" s="31"/>
    </row>
    <row r="496">
      <c r="E496" s="31"/>
      <c r="F496" s="32"/>
      <c r="G496" s="31"/>
      <c r="H496" s="32"/>
      <c r="I496" s="31"/>
    </row>
    <row r="497">
      <c r="E497" s="31"/>
      <c r="F497" s="32"/>
      <c r="G497" s="31"/>
      <c r="H497" s="32"/>
      <c r="I497" s="31"/>
    </row>
    <row r="498">
      <c r="E498" s="31"/>
      <c r="F498" s="32"/>
      <c r="G498" s="31"/>
      <c r="H498" s="32"/>
      <c r="I498" s="31"/>
    </row>
    <row r="499">
      <c r="E499" s="31"/>
      <c r="F499" s="32"/>
      <c r="G499" s="31"/>
      <c r="H499" s="32"/>
      <c r="I499" s="31"/>
    </row>
    <row r="500">
      <c r="E500" s="31"/>
      <c r="F500" s="32"/>
      <c r="G500" s="31"/>
      <c r="H500" s="32"/>
      <c r="I500" s="31"/>
    </row>
    <row r="501">
      <c r="E501" s="31"/>
      <c r="F501" s="32"/>
      <c r="G501" s="31"/>
      <c r="H501" s="32"/>
      <c r="I501" s="31"/>
    </row>
    <row r="502">
      <c r="E502" s="31"/>
      <c r="F502" s="32"/>
      <c r="G502" s="31"/>
      <c r="H502" s="32"/>
      <c r="I502" s="31"/>
    </row>
    <row r="503">
      <c r="E503" s="31"/>
      <c r="F503" s="32"/>
      <c r="G503" s="31"/>
      <c r="H503" s="32"/>
      <c r="I503" s="31"/>
    </row>
    <row r="504">
      <c r="E504" s="31"/>
      <c r="F504" s="32"/>
      <c r="G504" s="31"/>
      <c r="H504" s="32"/>
      <c r="I504" s="31"/>
    </row>
    <row r="505">
      <c r="E505" s="31"/>
      <c r="F505" s="32"/>
      <c r="G505" s="31"/>
      <c r="H505" s="32"/>
      <c r="I505" s="31"/>
    </row>
    <row r="506">
      <c r="E506" s="31"/>
      <c r="F506" s="32"/>
      <c r="G506" s="31"/>
      <c r="H506" s="32"/>
      <c r="I506" s="31"/>
    </row>
    <row r="507">
      <c r="E507" s="31"/>
      <c r="F507" s="32"/>
      <c r="G507" s="31"/>
      <c r="H507" s="32"/>
      <c r="I507" s="31"/>
    </row>
    <row r="508">
      <c r="E508" s="31"/>
      <c r="F508" s="32"/>
      <c r="G508" s="31"/>
      <c r="H508" s="32"/>
      <c r="I508" s="31"/>
    </row>
    <row r="509">
      <c r="E509" s="31"/>
      <c r="F509" s="32"/>
      <c r="G509" s="31"/>
      <c r="H509" s="32"/>
      <c r="I509" s="31"/>
    </row>
    <row r="510">
      <c r="E510" s="31"/>
      <c r="F510" s="32"/>
      <c r="G510" s="31"/>
      <c r="H510" s="32"/>
      <c r="I510" s="31"/>
    </row>
    <row r="511">
      <c r="E511" s="31"/>
      <c r="F511" s="32"/>
      <c r="G511" s="31"/>
      <c r="H511" s="32"/>
      <c r="I511" s="31"/>
    </row>
    <row r="512">
      <c r="E512" s="31"/>
      <c r="F512" s="32"/>
      <c r="G512" s="31"/>
      <c r="H512" s="32"/>
      <c r="I512" s="31"/>
    </row>
    <row r="513">
      <c r="E513" s="31"/>
      <c r="F513" s="32"/>
      <c r="G513" s="31"/>
      <c r="H513" s="32"/>
      <c r="I513" s="31"/>
    </row>
    <row r="514">
      <c r="E514" s="31"/>
      <c r="F514" s="32"/>
      <c r="G514" s="31"/>
      <c r="H514" s="32"/>
      <c r="I514" s="31"/>
    </row>
    <row r="515">
      <c r="E515" s="31"/>
      <c r="F515" s="32"/>
      <c r="G515" s="31"/>
      <c r="H515" s="32"/>
      <c r="I515" s="31"/>
    </row>
    <row r="516">
      <c r="E516" s="31"/>
      <c r="F516" s="32"/>
      <c r="G516" s="31"/>
      <c r="H516" s="32"/>
      <c r="I516" s="31"/>
    </row>
    <row r="517">
      <c r="E517" s="31"/>
      <c r="F517" s="32"/>
      <c r="G517" s="31"/>
      <c r="H517" s="32"/>
      <c r="I517" s="31"/>
    </row>
    <row r="518">
      <c r="E518" s="31"/>
      <c r="F518" s="32"/>
      <c r="G518" s="31"/>
      <c r="H518" s="32"/>
      <c r="I518" s="31"/>
    </row>
    <row r="519">
      <c r="E519" s="31"/>
      <c r="F519" s="32"/>
      <c r="G519" s="31"/>
      <c r="H519" s="32"/>
      <c r="I519" s="31"/>
    </row>
    <row r="520">
      <c r="E520" s="31"/>
      <c r="F520" s="32"/>
      <c r="G520" s="31"/>
      <c r="H520" s="32"/>
      <c r="I520" s="31"/>
    </row>
    <row r="521">
      <c r="E521" s="31"/>
      <c r="F521" s="32"/>
      <c r="G521" s="31"/>
      <c r="H521" s="32"/>
      <c r="I521" s="31"/>
    </row>
    <row r="522">
      <c r="E522" s="31"/>
      <c r="F522" s="32"/>
      <c r="G522" s="31"/>
      <c r="H522" s="32"/>
      <c r="I522" s="31"/>
    </row>
    <row r="523">
      <c r="E523" s="31"/>
      <c r="F523" s="32"/>
      <c r="G523" s="31"/>
      <c r="H523" s="32"/>
      <c r="I523" s="31"/>
    </row>
    <row r="524">
      <c r="E524" s="31"/>
      <c r="F524" s="32"/>
      <c r="G524" s="31"/>
      <c r="H524" s="32"/>
      <c r="I524" s="31"/>
    </row>
    <row r="525">
      <c r="E525" s="31"/>
      <c r="F525" s="32"/>
      <c r="G525" s="31"/>
      <c r="H525" s="32"/>
      <c r="I525" s="31"/>
    </row>
    <row r="526">
      <c r="E526" s="31"/>
      <c r="F526" s="32"/>
      <c r="G526" s="31"/>
      <c r="H526" s="32"/>
      <c r="I526" s="31"/>
    </row>
    <row r="527">
      <c r="E527" s="31"/>
      <c r="F527" s="32"/>
      <c r="G527" s="31"/>
      <c r="H527" s="32"/>
      <c r="I527" s="31"/>
    </row>
    <row r="528">
      <c r="E528" s="31"/>
      <c r="F528" s="32"/>
      <c r="G528" s="31"/>
      <c r="H528" s="32"/>
      <c r="I528" s="31"/>
    </row>
    <row r="529">
      <c r="E529" s="31"/>
      <c r="F529" s="32"/>
      <c r="G529" s="31"/>
      <c r="H529" s="32"/>
      <c r="I529" s="31"/>
    </row>
    <row r="530">
      <c r="E530" s="31"/>
      <c r="F530" s="32"/>
      <c r="G530" s="31"/>
      <c r="H530" s="32"/>
      <c r="I530" s="31"/>
    </row>
    <row r="531">
      <c r="E531" s="31"/>
      <c r="F531" s="32"/>
      <c r="G531" s="31"/>
      <c r="H531" s="32"/>
      <c r="I531" s="31"/>
    </row>
    <row r="532">
      <c r="E532" s="31"/>
      <c r="F532" s="32"/>
      <c r="G532" s="31"/>
      <c r="H532" s="32"/>
      <c r="I532" s="31"/>
    </row>
    <row r="533">
      <c r="E533" s="31"/>
      <c r="F533" s="32"/>
      <c r="G533" s="31"/>
      <c r="H533" s="32"/>
      <c r="I533" s="31"/>
    </row>
    <row r="534">
      <c r="E534" s="31"/>
      <c r="F534" s="32"/>
      <c r="G534" s="31"/>
      <c r="H534" s="32"/>
      <c r="I534" s="31"/>
    </row>
    <row r="535">
      <c r="E535" s="31"/>
      <c r="F535" s="32"/>
      <c r="G535" s="31"/>
      <c r="H535" s="32"/>
      <c r="I535" s="31"/>
    </row>
    <row r="536">
      <c r="E536" s="31"/>
      <c r="F536" s="32"/>
      <c r="G536" s="31"/>
      <c r="H536" s="32"/>
      <c r="I536" s="31"/>
    </row>
    <row r="537">
      <c r="E537" s="31"/>
      <c r="F537" s="32"/>
      <c r="G537" s="31"/>
      <c r="H537" s="32"/>
      <c r="I537" s="31"/>
    </row>
    <row r="538">
      <c r="E538" s="31"/>
      <c r="F538" s="32"/>
      <c r="G538" s="31"/>
      <c r="H538" s="32"/>
      <c r="I538" s="31"/>
    </row>
    <row r="539">
      <c r="E539" s="31"/>
      <c r="F539" s="32"/>
      <c r="G539" s="31"/>
      <c r="H539" s="32"/>
      <c r="I539" s="31"/>
    </row>
    <row r="540">
      <c r="E540" s="31"/>
      <c r="F540" s="32"/>
      <c r="G540" s="31"/>
      <c r="H540" s="32"/>
      <c r="I540" s="31"/>
    </row>
    <row r="541">
      <c r="E541" s="31"/>
      <c r="F541" s="32"/>
      <c r="G541" s="31"/>
      <c r="H541" s="32"/>
      <c r="I541" s="31"/>
    </row>
    <row r="542">
      <c r="E542" s="31"/>
      <c r="F542" s="32"/>
      <c r="G542" s="31"/>
      <c r="H542" s="32"/>
      <c r="I542" s="31"/>
    </row>
    <row r="543">
      <c r="E543" s="31"/>
      <c r="F543" s="32"/>
      <c r="G543" s="31"/>
      <c r="H543" s="32"/>
      <c r="I543" s="31"/>
    </row>
    <row r="544">
      <c r="E544" s="31"/>
      <c r="F544" s="32"/>
      <c r="G544" s="31"/>
      <c r="H544" s="32"/>
      <c r="I544" s="31"/>
    </row>
    <row r="545">
      <c r="E545" s="31"/>
      <c r="F545" s="32"/>
      <c r="G545" s="31"/>
      <c r="H545" s="32"/>
      <c r="I545" s="31"/>
    </row>
    <row r="546">
      <c r="E546" s="31"/>
      <c r="F546" s="32"/>
      <c r="G546" s="31"/>
      <c r="H546" s="32"/>
      <c r="I546" s="31"/>
    </row>
    <row r="547">
      <c r="E547" s="31"/>
      <c r="F547" s="32"/>
      <c r="G547" s="31"/>
      <c r="H547" s="32"/>
      <c r="I547" s="31"/>
    </row>
    <row r="548">
      <c r="E548" s="31"/>
      <c r="F548" s="32"/>
      <c r="G548" s="31"/>
      <c r="H548" s="32"/>
      <c r="I548" s="31"/>
    </row>
    <row r="549">
      <c r="E549" s="31"/>
      <c r="F549" s="32"/>
      <c r="G549" s="31"/>
      <c r="H549" s="32"/>
      <c r="I549" s="31"/>
    </row>
    <row r="550">
      <c r="E550" s="31"/>
      <c r="F550" s="32"/>
      <c r="G550" s="31"/>
      <c r="H550" s="32"/>
      <c r="I550" s="31"/>
    </row>
    <row r="551">
      <c r="E551" s="31"/>
      <c r="F551" s="32"/>
      <c r="G551" s="31"/>
      <c r="H551" s="32"/>
      <c r="I551" s="31"/>
    </row>
    <row r="552">
      <c r="E552" s="31"/>
      <c r="F552" s="32"/>
      <c r="G552" s="31"/>
      <c r="H552" s="32"/>
      <c r="I552" s="31"/>
    </row>
    <row r="553">
      <c r="E553" s="31"/>
      <c r="F553" s="32"/>
      <c r="G553" s="31"/>
      <c r="H553" s="32"/>
      <c r="I553" s="31"/>
    </row>
    <row r="554">
      <c r="E554" s="31"/>
      <c r="F554" s="32"/>
      <c r="G554" s="31"/>
      <c r="H554" s="32"/>
      <c r="I554" s="31"/>
    </row>
    <row r="555">
      <c r="E555" s="31"/>
      <c r="F555" s="32"/>
      <c r="G555" s="31"/>
      <c r="H555" s="32"/>
      <c r="I555" s="31"/>
    </row>
    <row r="556">
      <c r="E556" s="31"/>
      <c r="F556" s="32"/>
      <c r="G556" s="31"/>
      <c r="H556" s="32"/>
      <c r="I556" s="31"/>
    </row>
    <row r="557">
      <c r="E557" s="31"/>
      <c r="F557" s="32"/>
      <c r="G557" s="31"/>
      <c r="H557" s="32"/>
      <c r="I557" s="31"/>
    </row>
    <row r="558">
      <c r="E558" s="46"/>
      <c r="F558" s="2"/>
      <c r="G558" s="46"/>
      <c r="H558" s="2"/>
    </row>
    <row r="559">
      <c r="E559" s="46"/>
      <c r="F559" s="2"/>
      <c r="G559" s="46"/>
      <c r="H559" s="2"/>
    </row>
    <row r="560">
      <c r="E560" s="46"/>
      <c r="F560" s="2"/>
      <c r="G560" s="46"/>
      <c r="H560" s="2"/>
    </row>
    <row r="561">
      <c r="E561" s="46"/>
      <c r="F561" s="2"/>
      <c r="G561" s="46"/>
      <c r="H561" s="2"/>
    </row>
    <row r="562">
      <c r="E562" s="46"/>
      <c r="F562" s="2"/>
      <c r="G562" s="46"/>
      <c r="H562" s="2"/>
    </row>
    <row r="563">
      <c r="E563" s="46"/>
      <c r="F563" s="2"/>
      <c r="G563" s="46"/>
      <c r="H563" s="2"/>
    </row>
    <row r="564">
      <c r="E564" s="46"/>
      <c r="F564" s="2"/>
      <c r="G564" s="46"/>
      <c r="H564" s="2"/>
    </row>
    <row r="565">
      <c r="E565" s="46"/>
      <c r="F565" s="2"/>
      <c r="G565" s="46"/>
      <c r="H565" s="2"/>
    </row>
    <row r="566">
      <c r="E566" s="46"/>
      <c r="F566" s="2"/>
      <c r="G566" s="46"/>
      <c r="H566" s="2"/>
    </row>
    <row r="567">
      <c r="E567" s="46"/>
      <c r="F567" s="2"/>
      <c r="G567" s="46"/>
      <c r="H567" s="2"/>
    </row>
    <row r="568">
      <c r="E568" s="46"/>
      <c r="F568" s="2"/>
      <c r="G568" s="46"/>
      <c r="H568" s="2"/>
    </row>
    <row r="569">
      <c r="E569" s="46"/>
      <c r="F569" s="2"/>
      <c r="G569" s="46"/>
      <c r="H569" s="2"/>
    </row>
    <row r="570">
      <c r="E570" s="46"/>
      <c r="F570" s="2"/>
      <c r="G570" s="46"/>
      <c r="H570" s="2"/>
    </row>
    <row r="571">
      <c r="E571" s="46"/>
      <c r="F571" s="2"/>
      <c r="G571" s="46"/>
      <c r="H571" s="2"/>
    </row>
    <row r="572">
      <c r="E572" s="46"/>
      <c r="F572" s="2"/>
      <c r="G572" s="46"/>
      <c r="H572" s="2"/>
    </row>
    <row r="573">
      <c r="E573" s="46"/>
      <c r="F573" s="2"/>
      <c r="G573" s="46"/>
      <c r="H573" s="2"/>
    </row>
    <row r="574">
      <c r="E574" s="46"/>
      <c r="F574" s="2"/>
      <c r="G574" s="46"/>
      <c r="H574" s="2"/>
    </row>
    <row r="575">
      <c r="E575" s="46"/>
      <c r="F575" s="2"/>
      <c r="G575" s="46"/>
      <c r="H575" s="2"/>
    </row>
    <row r="576">
      <c r="E576" s="46"/>
      <c r="F576" s="2"/>
      <c r="G576" s="46"/>
      <c r="H576" s="2"/>
    </row>
    <row r="577">
      <c r="E577" s="46"/>
      <c r="F577" s="2"/>
      <c r="G577" s="46"/>
      <c r="H577" s="2"/>
    </row>
    <row r="578">
      <c r="E578" s="46"/>
      <c r="F578" s="2"/>
      <c r="G578" s="46"/>
      <c r="H578" s="2"/>
    </row>
    <row r="579">
      <c r="E579" s="46"/>
      <c r="F579" s="2"/>
      <c r="G579" s="46"/>
      <c r="H579" s="2"/>
    </row>
    <row r="580">
      <c r="E580" s="46"/>
      <c r="F580" s="2"/>
      <c r="G580" s="46"/>
      <c r="H580" s="2"/>
    </row>
    <row r="581">
      <c r="E581" s="46"/>
      <c r="F581" s="2"/>
      <c r="G581" s="46"/>
      <c r="H581" s="2"/>
    </row>
    <row r="582">
      <c r="E582" s="46"/>
      <c r="F582" s="2"/>
      <c r="G582" s="46"/>
      <c r="H582" s="2"/>
    </row>
    <row r="583">
      <c r="E583" s="46"/>
      <c r="F583" s="2"/>
      <c r="G583" s="46"/>
      <c r="H583" s="2"/>
    </row>
    <row r="584">
      <c r="E584" s="46"/>
      <c r="F584" s="2"/>
      <c r="G584" s="46"/>
      <c r="H584" s="2"/>
    </row>
    <row r="585">
      <c r="E585" s="46"/>
      <c r="F585" s="2"/>
      <c r="G585" s="46"/>
      <c r="H585" s="2"/>
    </row>
    <row r="586">
      <c r="E586" s="46"/>
      <c r="F586" s="2"/>
      <c r="G586" s="46"/>
      <c r="H586" s="2"/>
    </row>
    <row r="587">
      <c r="E587" s="46"/>
      <c r="F587" s="2"/>
      <c r="G587" s="46"/>
      <c r="H587" s="2"/>
    </row>
    <row r="588">
      <c r="E588" s="46"/>
      <c r="F588" s="2"/>
      <c r="G588" s="46"/>
      <c r="H588" s="2"/>
    </row>
    <row r="589">
      <c r="E589" s="46"/>
      <c r="F589" s="2"/>
      <c r="G589" s="46"/>
      <c r="H589" s="2"/>
    </row>
    <row r="590">
      <c r="E590" s="46"/>
      <c r="F590" s="2"/>
      <c r="G590" s="46"/>
      <c r="H590" s="2"/>
    </row>
  </sheetData>
  <mergeCells count="2">
    <mergeCell ref="A5:K5"/>
    <mergeCell ref="A6:K6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onlyoffice/8.2.0.143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Lyralyn</dc:creator>
  <cp:lastModifiedBy>Tony Ward</cp:lastModifiedBy>
  <cp:revision>931</cp:revision>
  <dcterms:created xsi:type="dcterms:W3CDTF">2019-01-04T02:15:00Z</dcterms:created>
  <dcterms:modified xsi:type="dcterms:W3CDTF">2024-11-13T09:37:20Z</dcterms:modified>
</cp:coreProperties>
</file>